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My Documents\ITC\Brush Country Groundwater Conservation District\Web Site\Live Site\Agendas\July 28 2020 Meeting Packet\"/>
    </mc:Choice>
  </mc:AlternateContent>
  <xr:revisionPtr revIDLastSave="0" documentId="13_ncr:1_{865B16BE-9C5C-4F0B-8166-6CDCDEDEEF94}" xr6:coauthVersionLast="45" xr6:coauthVersionMax="45" xr10:uidLastSave="{00000000-0000-0000-0000-000000000000}"/>
  <bookViews>
    <workbookView xWindow="19080" yWindow="-120" windowWidth="20640" windowHeight="1116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3" i="1" l="1"/>
  <c r="J62" i="1"/>
  <c r="N10" i="1"/>
  <c r="O9" i="1"/>
  <c r="J92" i="1" l="1"/>
  <c r="J93" i="1" s="1"/>
  <c r="L93" i="1" s="1"/>
  <c r="J77" i="1" l="1"/>
  <c r="J59" i="1"/>
  <c r="J44" i="1" l="1"/>
  <c r="J63" i="1"/>
  <c r="J65" i="1"/>
  <c r="J60" i="1"/>
  <c r="J10" i="1"/>
  <c r="J45" i="1"/>
  <c r="J48" i="1"/>
  <c r="L78" i="1" l="1"/>
  <c r="L77" i="1"/>
  <c r="L75" i="1"/>
  <c r="L74" i="1"/>
  <c r="L72" i="1"/>
  <c r="L71" i="1"/>
  <c r="L70" i="1"/>
  <c r="L68" i="1"/>
  <c r="L67" i="1"/>
  <c r="L66" i="1"/>
  <c r="L65" i="1"/>
  <c r="L64" i="1"/>
  <c r="L63" i="1"/>
  <c r="L62" i="1"/>
  <c r="L60" i="1"/>
  <c r="L59" i="1"/>
  <c r="L58" i="1"/>
  <c r="L57" i="1"/>
  <c r="L56" i="1"/>
  <c r="L55" i="1"/>
  <c r="L53" i="1"/>
  <c r="L51" i="1"/>
  <c r="L50" i="1"/>
  <c r="L49" i="1"/>
  <c r="L48" i="1"/>
  <c r="L47" i="1"/>
  <c r="L45" i="1"/>
  <c r="L43" i="1"/>
  <c r="L42" i="1"/>
  <c r="L41" i="1"/>
  <c r="L39" i="1"/>
  <c r="L38" i="1"/>
  <c r="L37" i="1"/>
  <c r="L36" i="1"/>
  <c r="L35" i="1"/>
  <c r="L33" i="1"/>
  <c r="L32" i="1"/>
  <c r="L31" i="1"/>
  <c r="L30" i="1"/>
  <c r="L29" i="1"/>
  <c r="L25" i="1"/>
  <c r="L24" i="1"/>
  <c r="L23" i="1"/>
  <c r="L21" i="1"/>
  <c r="L20" i="1"/>
  <c r="L19" i="1"/>
  <c r="L18" i="1"/>
  <c r="K54" i="1" l="1"/>
  <c r="J26" i="1" l="1"/>
  <c r="J22" i="1" l="1"/>
  <c r="J15" i="1"/>
  <c r="J27" i="1" l="1"/>
  <c r="J79" i="1" s="1"/>
  <c r="L81" i="1" s="1"/>
  <c r="K44" i="1"/>
  <c r="J81" i="1" l="1"/>
  <c r="K79" i="1"/>
  <c r="K10" i="1" l="1"/>
  <c r="K15" i="1" s="1"/>
  <c r="K81" i="1" l="1"/>
  <c r="I10" i="1"/>
  <c r="M10" i="1" l="1"/>
  <c r="O10" i="1" s="1"/>
  <c r="H92" i="1"/>
  <c r="G79" i="1" l="1"/>
  <c r="I44" i="1" l="1"/>
  <c r="L44" i="1" s="1"/>
  <c r="G22" i="1"/>
  <c r="I22" i="1"/>
  <c r="L22" i="1" s="1"/>
  <c r="I26" i="1"/>
  <c r="L26" i="1" s="1"/>
  <c r="G26" i="1"/>
  <c r="H26" i="1"/>
  <c r="I27" i="1" l="1"/>
  <c r="L27" i="1" s="1"/>
  <c r="H22" i="1"/>
  <c r="H27" i="1" s="1"/>
  <c r="H79" i="1" l="1"/>
  <c r="I54" i="1"/>
  <c r="L54" i="1" s="1"/>
  <c r="I79" i="1" l="1"/>
  <c r="I15" i="1"/>
  <c r="H81" i="1" l="1"/>
  <c r="L15" i="1"/>
  <c r="I81" i="1"/>
  <c r="G92" i="1"/>
  <c r="L10" i="1" l="1"/>
  <c r="H10" i="1" l="1"/>
  <c r="H15" i="1" l="1"/>
</calcChain>
</file>

<file path=xl/sharedStrings.xml><?xml version="1.0" encoding="utf-8"?>
<sst xmlns="http://schemas.openxmlformats.org/spreadsheetml/2006/main" count="131" uniqueCount="117">
  <si>
    <t>Expenses</t>
  </si>
  <si>
    <t>Jim Hogg Co.</t>
  </si>
  <si>
    <t>Jim Wells Co.</t>
  </si>
  <si>
    <t>Brooks Co.</t>
  </si>
  <si>
    <t>Income</t>
  </si>
  <si>
    <t>Suta Tax Exp</t>
  </si>
  <si>
    <t>Dues &amp; Subscriptions</t>
  </si>
  <si>
    <t>Salaries</t>
  </si>
  <si>
    <t>Staff Person</t>
  </si>
  <si>
    <t>Health Insurance</t>
  </si>
  <si>
    <t>Wireless / Mobil</t>
  </si>
  <si>
    <t>Computers Support Services</t>
  </si>
  <si>
    <t>Web hosting and Homepage</t>
  </si>
  <si>
    <t>Software</t>
  </si>
  <si>
    <t>Office Furniture</t>
  </si>
  <si>
    <t>Offfice Supplies</t>
  </si>
  <si>
    <t>Auto,Gas &amp; Oil</t>
  </si>
  <si>
    <t>Auto &amp; Truck Repairs</t>
  </si>
  <si>
    <t>Director Expense Reimburse</t>
  </si>
  <si>
    <t>General Manager</t>
  </si>
  <si>
    <t>Tax Appraisal Fees</t>
  </si>
  <si>
    <t>Brooks Co.&amp; Hidalgo</t>
  </si>
  <si>
    <t>Hidalgo Co Tax Levy</t>
  </si>
  <si>
    <t>Hidalgo Co.</t>
  </si>
  <si>
    <t>Jim Hogg Co. Tax  Levy</t>
  </si>
  <si>
    <t>Jim Wells Co. Tax Levy</t>
  </si>
  <si>
    <t>Brooks Co. Tax Levy</t>
  </si>
  <si>
    <t>Equipment Purchase</t>
  </si>
  <si>
    <t>Tax Penalty &amp; interest</t>
  </si>
  <si>
    <t>total tax levies</t>
  </si>
  <si>
    <t>Total Revenue</t>
  </si>
  <si>
    <t>payroll tax expense</t>
  </si>
  <si>
    <t>budget</t>
  </si>
  <si>
    <t>Legal notices</t>
  </si>
  <si>
    <t>Printer expenses</t>
  </si>
  <si>
    <t>Delinquent Tax Collect</t>
  </si>
  <si>
    <t>District Fee Revenue</t>
  </si>
  <si>
    <t>Vehicle Insurance</t>
  </si>
  <si>
    <t>Net Revenue over Operating Expenses</t>
  </si>
  <si>
    <t>total all accts</t>
  </si>
  <si>
    <t>Travel Exp &amp; Training Cost</t>
  </si>
  <si>
    <t>Certi values</t>
  </si>
  <si>
    <t>phone &amp; internet</t>
  </si>
  <si>
    <t>Postage &amp; shipping expense</t>
  </si>
  <si>
    <t>computer  &amp; electronic Eqpt</t>
  </si>
  <si>
    <t>Ins Workmans Comp</t>
  </si>
  <si>
    <t>Office Expenses</t>
  </si>
  <si>
    <t xml:space="preserve"> </t>
  </si>
  <si>
    <t>School Educational Material</t>
  </si>
  <si>
    <t>Payroll Taxes</t>
  </si>
  <si>
    <t>Vehicle Expenses</t>
  </si>
  <si>
    <t>Miscellaneous Expenses</t>
  </si>
  <si>
    <t>Other Miscellaneous Services  &amp; Expenses</t>
  </si>
  <si>
    <t>Meals &amp; Lodging</t>
  </si>
  <si>
    <t xml:space="preserve"> Professional Services</t>
  </si>
  <si>
    <t>Field Asst/GM Trainee Salary &amp;  Benefits</t>
  </si>
  <si>
    <t>Ins. Dir Liability/Erorr-Omission/Emp Dishonesty</t>
  </si>
  <si>
    <t>Accounting Services &amp; Audit</t>
  </si>
  <si>
    <t xml:space="preserve">General Reserve  Fund  </t>
  </si>
  <si>
    <t>Water Quality Testing</t>
  </si>
  <si>
    <t>Conference Registration Fees</t>
  </si>
  <si>
    <t>Total Collection &amp; Appraisal fees</t>
  </si>
  <si>
    <t>Tx Municipal League Insurance</t>
  </si>
  <si>
    <t>Director Bond</t>
  </si>
  <si>
    <t>tax yr 2018</t>
  </si>
  <si>
    <t>building Insurance</t>
  </si>
  <si>
    <t>new office Electricity</t>
  </si>
  <si>
    <t>Interest income from bank accts</t>
  </si>
  <si>
    <t>Greater Texas Bank CD</t>
  </si>
  <si>
    <t>%</t>
  </si>
  <si>
    <t>Change</t>
  </si>
  <si>
    <t>Total Operating Expenses</t>
  </si>
  <si>
    <t xml:space="preserve">Capital Improvement  new office building </t>
  </si>
  <si>
    <t>projected operating expenses through September 30, 2019</t>
  </si>
  <si>
    <t>actual 2019</t>
  </si>
  <si>
    <t>water &amp; sewer min bill $152/mon &amp; garbage</t>
  </si>
  <si>
    <t>yard maintenance</t>
  </si>
  <si>
    <t>building repairs</t>
  </si>
  <si>
    <t>total collection fees</t>
  </si>
  <si>
    <t>TCDRS Retirement &amp;life Insurance</t>
  </si>
  <si>
    <t>FNBFAL CD</t>
  </si>
  <si>
    <t>Total appraisal fees</t>
  </si>
  <si>
    <t>tax yr 2019</t>
  </si>
  <si>
    <t>incl in levy</t>
  </si>
  <si>
    <t>Bank Accounts thru 9/30/19</t>
  </si>
  <si>
    <t>Tax Rate @ $0.02070/$100</t>
  </si>
  <si>
    <t>building maintenance - janitorial</t>
  </si>
  <si>
    <t>Engineering Services</t>
  </si>
  <si>
    <t>Aquifer Monitoring Eqp. &amp; GMA Expenses</t>
  </si>
  <si>
    <t>tax account Sept, 2019</t>
  </si>
  <si>
    <t xml:space="preserve">  Cash Available  Operations on 9/30/19</t>
  </si>
  <si>
    <t>*Total BCGCD Tax Levy for FY 2020 budget based on tax rate of $0.02070/$100 = $450,752</t>
  </si>
  <si>
    <t>Bus acct  sept 30, 2019</t>
  </si>
  <si>
    <t>Legal Services/Bickerstaff</t>
  </si>
  <si>
    <t>Legislative Assistance/Howard - Gosselink</t>
  </si>
  <si>
    <t xml:space="preserve"> Well Plugging Program - Use   Plugging Reserve Fund Money</t>
  </si>
  <si>
    <t>Well Plugging Program Reserve Fund</t>
  </si>
  <si>
    <t>Actual</t>
  </si>
  <si>
    <t>miscellaneous</t>
  </si>
  <si>
    <t>avg mon. exp</t>
  </si>
  <si>
    <t>proj  balance</t>
  </si>
  <si>
    <t>Budgeted Begin Est  Cash Available for Op 10/1/2020</t>
  </si>
  <si>
    <t xml:space="preserve">Brush Country Groundwater Conservation District 2021 FY Budget  10/1/2020 - 9/30/2021 </t>
  </si>
  <si>
    <t>all accts</t>
  </si>
  <si>
    <t>tax yr 2020</t>
  </si>
  <si>
    <t xml:space="preserve">    file found on Z: brush country budget 2021</t>
  </si>
  <si>
    <t>Projected total on 9/30/2020</t>
  </si>
  <si>
    <t>revenue - annual expenses</t>
  </si>
  <si>
    <t>on 9/30/2020</t>
  </si>
  <si>
    <t>avg int./qtr in 2020</t>
  </si>
  <si>
    <t>thru June</t>
  </si>
  <si>
    <t>avg exp* 4 month=$125,222</t>
  </si>
  <si>
    <t>ann exp =125,222+281751</t>
  </si>
  <si>
    <t xml:space="preserve">    =$406,973</t>
  </si>
  <si>
    <t xml:space="preserve"> 6/30/2020</t>
  </si>
  <si>
    <t xml:space="preserve">Building Reserve Account balance </t>
  </si>
  <si>
    <t>Agenda Item #10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</si>
</sst>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&quot;$&quot;#,##0.00"/>
    <numFmt numFmtId="166" formatCode="#,##0.00;\-#,##0.00"/>
    <numFmt numFmtId="167" formatCode="&quot;$&quot;#,##0"/>
    <numFmt numFmtId="168" formatCode="0.000"/>
  </numFmts>
  <fonts count="41" x14ac:knownFonts="1">
    <font>
      <sz val="11"/>
      <color theme="1"/>
      <name val="Times New Roman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theme="1"/>
      <name val="Times New Roman"/>
      <family val="2"/>
      <scheme val="minor"/>
    </font>
    <font>
      <b/>
      <sz val="12"/>
      <color theme="1"/>
      <name val="Times New Roman"/>
      <family val="2"/>
      <scheme val="minor"/>
    </font>
    <font>
      <b/>
      <sz val="12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scheme val="minor"/>
    </font>
    <font>
      <sz val="14"/>
      <color theme="1"/>
      <name val="Times New Roman"/>
      <family val="1"/>
    </font>
    <font>
      <sz val="14"/>
      <color indexed="8"/>
      <name val="Times New Roman"/>
      <family val="1"/>
      <scheme val="minor"/>
    </font>
    <font>
      <sz val="14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u val="singleAccounting"/>
      <sz val="14"/>
      <color indexed="8"/>
      <name val="Times New Roman"/>
      <family val="1"/>
    </font>
    <font>
      <b/>
      <sz val="14"/>
      <color theme="1"/>
      <name val="Times New Roman"/>
      <family val="1"/>
      <scheme val="minor"/>
    </font>
    <font>
      <b/>
      <sz val="14"/>
      <color theme="1"/>
      <name val="Calibri"/>
      <family val="2"/>
    </font>
    <font>
      <sz val="14"/>
      <color theme="1"/>
      <name val="Times New Roman"/>
      <family val="1"/>
      <scheme val="minor"/>
    </font>
    <font>
      <sz val="11"/>
      <color rgb="FFFF0000"/>
      <name val="Times New Roman"/>
      <family val="2"/>
      <scheme val="minor"/>
    </font>
    <font>
      <sz val="14"/>
      <name val="Times New Roman"/>
      <family val="1"/>
      <scheme val="minor"/>
    </font>
    <font>
      <sz val="14"/>
      <name val="Times New Roman"/>
      <family val="2"/>
      <scheme val="minor"/>
    </font>
    <font>
      <sz val="12"/>
      <name val="Arial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  <scheme val="minor"/>
    </font>
    <font>
      <sz val="11"/>
      <color theme="1"/>
      <name val="Times New Roman"/>
      <family val="1"/>
      <scheme val="minor"/>
    </font>
    <font>
      <b/>
      <sz val="12"/>
      <color theme="1"/>
      <name val="Times New Roman"/>
      <family val="1"/>
      <scheme val="minor"/>
    </font>
    <font>
      <sz val="12"/>
      <color theme="1"/>
      <name val="Times New Roman"/>
      <family val="1"/>
      <scheme val="minor"/>
    </font>
    <font>
      <b/>
      <sz val="11"/>
      <color theme="1"/>
      <name val="Times New Roman"/>
      <family val="1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  <scheme val="minor"/>
    </font>
    <font>
      <b/>
      <sz val="11"/>
      <name val="Times New Roman"/>
      <family val="1"/>
      <scheme val="minor"/>
    </font>
    <font>
      <sz val="14"/>
      <color rgb="FFFF0000"/>
      <name val="Times New Roman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4" fontId="8" fillId="0" borderId="0" xfId="0" applyNumberFormat="1" applyFont="1"/>
    <xf numFmtId="0" fontId="9" fillId="0" borderId="0" xfId="0" applyFont="1" applyBorder="1"/>
    <xf numFmtId="3" fontId="10" fillId="0" borderId="1" xfId="0" applyNumberFormat="1" applyFont="1" applyBorder="1"/>
    <xf numFmtId="4" fontId="0" fillId="0" borderId="0" xfId="0" applyNumberFormat="1"/>
    <xf numFmtId="0" fontId="0" fillId="0" borderId="0" xfId="0" applyFill="1"/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" xfId="0" applyFont="1" applyBorder="1"/>
    <xf numFmtId="3" fontId="14" fillId="0" borderId="1" xfId="0" applyNumberFormat="1" applyFont="1" applyBorder="1"/>
    <xf numFmtId="43" fontId="14" fillId="0" borderId="1" xfId="1" applyFont="1" applyBorder="1"/>
    <xf numFmtId="38" fontId="15" fillId="0" borderId="1" xfId="0" applyNumberFormat="1" applyFont="1" applyBorder="1" applyProtection="1">
      <protection locked="0"/>
    </xf>
    <xf numFmtId="164" fontId="14" fillId="0" borderId="1" xfId="0" applyNumberFormat="1" applyFont="1" applyBorder="1"/>
    <xf numFmtId="3" fontId="16" fillId="0" borderId="1" xfId="0" applyNumberFormat="1" applyFont="1" applyBorder="1"/>
    <xf numFmtId="38" fontId="17" fillId="0" borderId="1" xfId="0" applyNumberFormat="1" applyFont="1" applyBorder="1" applyProtection="1">
      <protection locked="0"/>
    </xf>
    <xf numFmtId="3" fontId="14" fillId="0" borderId="1" xfId="2" applyNumberFormat="1" applyFont="1" applyFill="1" applyBorder="1"/>
    <xf numFmtId="0" fontId="14" fillId="0" borderId="0" xfId="0" applyFont="1"/>
    <xf numFmtId="3" fontId="14" fillId="0" borderId="0" xfId="0" applyNumberFormat="1" applyFont="1" applyBorder="1"/>
    <xf numFmtId="164" fontId="14" fillId="0" borderId="0" xfId="0" applyNumberFormat="1" applyFont="1" applyFill="1" applyBorder="1"/>
    <xf numFmtId="3" fontId="14" fillId="0" borderId="0" xfId="0" applyNumberFormat="1" applyFont="1"/>
    <xf numFmtId="43" fontId="17" fillId="0" borderId="1" xfId="0" applyNumberFormat="1" applyFont="1" applyBorder="1"/>
    <xf numFmtId="0" fontId="18" fillId="0" borderId="1" xfId="0" applyFont="1" applyBorder="1"/>
    <xf numFmtId="0" fontId="14" fillId="0" borderId="1" xfId="0" applyFont="1" applyFill="1" applyBorder="1"/>
    <xf numFmtId="0" fontId="11" fillId="0" borderId="1" xfId="0" applyFont="1" applyBorder="1"/>
    <xf numFmtId="43" fontId="14" fillId="0" borderId="1" xfId="1" applyFont="1" applyFill="1" applyBorder="1"/>
    <xf numFmtId="3" fontId="14" fillId="0" borderId="1" xfId="0" applyNumberFormat="1" applyFont="1" applyFill="1" applyBorder="1"/>
    <xf numFmtId="3" fontId="16" fillId="0" borderId="1" xfId="0" applyNumberFormat="1" applyFont="1" applyFill="1" applyBorder="1"/>
    <xf numFmtId="0" fontId="11" fillId="0" borderId="1" xfId="0" applyFont="1" applyFill="1" applyBorder="1"/>
    <xf numFmtId="43" fontId="17" fillId="0" borderId="1" xfId="0" applyNumberFormat="1" applyFont="1" applyFill="1" applyBorder="1"/>
    <xf numFmtId="0" fontId="16" fillId="0" borderId="1" xfId="0" applyFont="1" applyFill="1" applyBorder="1"/>
    <xf numFmtId="3" fontId="14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/>
    <xf numFmtId="0" fontId="14" fillId="0" borderId="1" xfId="0" applyFont="1" applyFill="1" applyBorder="1" applyAlignment="1"/>
    <xf numFmtId="0" fontId="18" fillId="0" borderId="1" xfId="0" applyFont="1" applyFill="1" applyBorder="1"/>
    <xf numFmtId="43" fontId="17" fillId="0" borderId="1" xfId="1" applyFont="1" applyFill="1" applyBorder="1"/>
    <xf numFmtId="43" fontId="19" fillId="0" borderId="1" xfId="0" applyNumberFormat="1" applyFont="1" applyFill="1" applyBorder="1"/>
    <xf numFmtId="0" fontId="12" fillId="0" borderId="1" xfId="0" applyFont="1" applyFill="1" applyBorder="1"/>
    <xf numFmtId="3" fontId="12" fillId="0" borderId="1" xfId="0" applyNumberFormat="1" applyFont="1" applyFill="1" applyBorder="1"/>
    <xf numFmtId="165" fontId="14" fillId="0" borderId="1" xfId="0" applyNumberFormat="1" applyFont="1" applyFill="1" applyBorder="1"/>
    <xf numFmtId="4" fontId="14" fillId="0" borderId="1" xfId="0" applyNumberFormat="1" applyFont="1" applyBorder="1"/>
    <xf numFmtId="0" fontId="11" fillId="0" borderId="0" xfId="0" applyFont="1"/>
    <xf numFmtId="3" fontId="12" fillId="0" borderId="0" xfId="0" applyNumberFormat="1" applyFont="1" applyFill="1" applyBorder="1"/>
    <xf numFmtId="0" fontId="14" fillId="0" borderId="0" xfId="0" applyFont="1" applyBorder="1"/>
    <xf numFmtId="0" fontId="12" fillId="0" borderId="1" xfId="0" applyFont="1" applyBorder="1"/>
    <xf numFmtId="3" fontId="12" fillId="0" borderId="1" xfId="0" applyNumberFormat="1" applyFont="1" applyBorder="1"/>
    <xf numFmtId="0" fontId="3" fillId="0" borderId="1" xfId="0" applyFont="1" applyBorder="1"/>
    <xf numFmtId="0" fontId="0" fillId="0" borderId="0" xfId="0" applyFont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3" fontId="22" fillId="0" borderId="1" xfId="0" applyNumberFormat="1" applyFont="1" applyBorder="1"/>
    <xf numFmtId="4" fontId="0" fillId="0" borderId="0" xfId="0" applyNumberFormat="1" applyFont="1"/>
    <xf numFmtId="0" fontId="14" fillId="0" borderId="0" xfId="0" applyFont="1" applyFill="1" applyBorder="1"/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3" fontId="20" fillId="0" borderId="0" xfId="0" applyNumberFormat="1" applyFont="1" applyFill="1" applyBorder="1" applyAlignment="1">
      <alignment horizontal="right"/>
    </xf>
    <xf numFmtId="0" fontId="11" fillId="0" borderId="0" xfId="0" applyFont="1" applyBorder="1"/>
    <xf numFmtId="0" fontId="23" fillId="0" borderId="0" xfId="0" applyFont="1"/>
    <xf numFmtId="3" fontId="11" fillId="0" borderId="0" xfId="0" applyNumberFormat="1" applyFont="1" applyFill="1" applyBorder="1" applyAlignment="1">
      <alignment horizontal="right"/>
    </xf>
    <xf numFmtId="0" fontId="16" fillId="0" borderId="1" xfId="0" applyFont="1" applyBorder="1"/>
    <xf numFmtId="38" fontId="24" fillId="0" borderId="1" xfId="0" applyNumberFormat="1" applyFont="1" applyBorder="1" applyProtection="1">
      <protection locked="0"/>
    </xf>
    <xf numFmtId="3" fontId="25" fillId="0" borderId="1" xfId="0" applyNumberFormat="1" applyFont="1" applyBorder="1"/>
    <xf numFmtId="38" fontId="16" fillId="0" borderId="1" xfId="0" applyNumberFormat="1" applyFont="1" applyBorder="1" applyProtection="1">
      <protection locked="0"/>
    </xf>
    <xf numFmtId="3" fontId="16" fillId="0" borderId="1" xfId="2" applyNumberFormat="1" applyFont="1" applyFill="1" applyBorder="1"/>
    <xf numFmtId="3" fontId="24" fillId="0" borderId="1" xfId="0" applyNumberFormat="1" applyFont="1" applyFill="1" applyBorder="1"/>
    <xf numFmtId="38" fontId="16" fillId="0" borderId="1" xfId="0" applyNumberFormat="1" applyFont="1" applyFill="1" applyBorder="1"/>
    <xf numFmtId="4" fontId="16" fillId="0" borderId="1" xfId="0" applyNumberFormat="1" applyFont="1" applyFill="1" applyBorder="1"/>
    <xf numFmtId="3" fontId="27" fillId="0" borderId="1" xfId="0" applyNumberFormat="1" applyFont="1" applyBorder="1"/>
    <xf numFmtId="4" fontId="0" fillId="0" borderId="0" xfId="0" applyNumberFormat="1" applyAlignment="1"/>
    <xf numFmtId="4" fontId="7" fillId="0" borderId="0" xfId="0" applyNumberFormat="1" applyFont="1"/>
    <xf numFmtId="4" fontId="22" fillId="0" borderId="1" xfId="0" applyNumberFormat="1" applyFont="1" applyBorder="1"/>
    <xf numFmtId="4" fontId="11" fillId="0" borderId="0" xfId="0" applyNumberFormat="1" applyFont="1" applyBorder="1"/>
    <xf numFmtId="165" fontId="20" fillId="0" borderId="0" xfId="0" applyNumberFormat="1" applyFont="1" applyFill="1" applyBorder="1"/>
    <xf numFmtId="3" fontId="12" fillId="0" borderId="0" xfId="0" applyNumberFormat="1" applyFont="1" applyBorder="1" applyAlignment="1">
      <alignment horizontal="center"/>
    </xf>
    <xf numFmtId="4" fontId="32" fillId="0" borderId="0" xfId="0" applyNumberFormat="1" applyFont="1"/>
    <xf numFmtId="4" fontId="20" fillId="0" borderId="2" xfId="0" applyNumberFormat="1" applyFont="1" applyBorder="1" applyAlignment="1">
      <alignment horizontal="center"/>
    </xf>
    <xf numFmtId="4" fontId="20" fillId="0" borderId="3" xfId="0" applyNumberFormat="1" applyFont="1" applyBorder="1" applyAlignment="1">
      <alignment horizontal="center"/>
    </xf>
    <xf numFmtId="4" fontId="22" fillId="0" borderId="0" xfId="0" applyNumberFormat="1" applyFont="1" applyBorder="1"/>
    <xf numFmtId="4" fontId="31" fillId="0" borderId="0" xfId="0" applyNumberFormat="1" applyFont="1"/>
    <xf numFmtId="3" fontId="11" fillId="0" borderId="0" xfId="0" applyNumberFormat="1" applyFont="1" applyFill="1" applyBorder="1"/>
    <xf numFmtId="3" fontId="11" fillId="0" borderId="0" xfId="0" applyNumberFormat="1" applyFont="1"/>
    <xf numFmtId="165" fontId="0" fillId="0" borderId="0" xfId="0" applyNumberFormat="1" applyFill="1"/>
    <xf numFmtId="3" fontId="11" fillId="0" borderId="1" xfId="0" applyNumberFormat="1" applyFont="1" applyBorder="1"/>
    <xf numFmtId="0" fontId="14" fillId="0" borderId="4" xfId="0" applyFont="1" applyBorder="1"/>
    <xf numFmtId="3" fontId="14" fillId="0" borderId="4" xfId="0" applyNumberFormat="1" applyFont="1" applyBorder="1"/>
    <xf numFmtId="0" fontId="11" fillId="0" borderId="3" xfId="0" applyFont="1" applyBorder="1"/>
    <xf numFmtId="3" fontId="29" fillId="0" borderId="1" xfId="0" applyNumberFormat="1" applyFont="1" applyBorder="1"/>
    <xf numFmtId="166" fontId="24" fillId="0" borderId="1" xfId="0" applyNumberFormat="1" applyFont="1" applyBorder="1"/>
    <xf numFmtId="4" fontId="22" fillId="0" borderId="1" xfId="0" applyNumberFormat="1" applyFont="1" applyFill="1" applyBorder="1"/>
    <xf numFmtId="37" fontId="26" fillId="0" borderId="1" xfId="0" applyNumberFormat="1" applyFont="1" applyBorder="1"/>
    <xf numFmtId="3" fontId="20" fillId="0" borderId="1" xfId="0" applyNumberFormat="1" applyFont="1" applyFill="1" applyBorder="1"/>
    <xf numFmtId="4" fontId="22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right"/>
    </xf>
    <xf numFmtId="0" fontId="34" fillId="0" borderId="0" xfId="0" applyFont="1" applyAlignment="1"/>
    <xf numFmtId="0" fontId="20" fillId="0" borderId="0" xfId="0" applyFont="1" applyFill="1" applyBorder="1"/>
    <xf numFmtId="0" fontId="20" fillId="0" borderId="0" xfId="0" applyFont="1" applyFill="1"/>
    <xf numFmtId="3" fontId="0" fillId="0" borderId="0" xfId="0" applyNumberFormat="1" applyFont="1"/>
    <xf numFmtId="3" fontId="22" fillId="0" borderId="1" xfId="2" applyNumberFormat="1" applyFont="1" applyFill="1" applyBorder="1"/>
    <xf numFmtId="3" fontId="33" fillId="0" borderId="1" xfId="0" applyNumberFormat="1" applyFont="1" applyBorder="1"/>
    <xf numFmtId="3" fontId="28" fillId="0" borderId="1" xfId="0" applyNumberFormat="1" applyFont="1" applyBorder="1"/>
    <xf numFmtId="3" fontId="22" fillId="0" borderId="1" xfId="0" applyNumberFormat="1" applyFont="1" applyFill="1" applyBorder="1"/>
    <xf numFmtId="3" fontId="30" fillId="0" borderId="1" xfId="0" applyNumberFormat="1" applyFont="1" applyBorder="1"/>
    <xf numFmtId="3" fontId="22" fillId="0" borderId="1" xfId="0" applyNumberFormat="1" applyFont="1" applyFill="1" applyBorder="1" applyAlignment="1">
      <alignment horizontal="right"/>
    </xf>
    <xf numFmtId="3" fontId="14" fillId="0" borderId="1" xfId="0" applyNumberFormat="1" applyFont="1" applyBorder="1" applyProtection="1">
      <protection locked="0"/>
    </xf>
    <xf numFmtId="3" fontId="35" fillId="0" borderId="1" xfId="0" applyNumberFormat="1" applyFont="1" applyBorder="1"/>
    <xf numFmtId="167" fontId="12" fillId="0" borderId="1" xfId="0" applyNumberFormat="1" applyFont="1" applyFill="1" applyBorder="1" applyAlignment="1">
      <alignment horizontal="right"/>
    </xf>
    <xf numFmtId="3" fontId="27" fillId="0" borderId="0" xfId="0" applyNumberFormat="1" applyFont="1" applyBorder="1"/>
    <xf numFmtId="3" fontId="27" fillId="0" borderId="0" xfId="0" applyNumberFormat="1" applyFont="1"/>
    <xf numFmtId="3" fontId="11" fillId="0" borderId="0" xfId="0" applyNumberFormat="1" applyFont="1" applyFill="1"/>
    <xf numFmtId="3" fontId="39" fillId="0" borderId="0" xfId="0" applyNumberFormat="1" applyFont="1" applyFill="1"/>
    <xf numFmtId="3" fontId="0" fillId="0" borderId="0" xfId="0" applyNumberFormat="1"/>
    <xf numFmtId="0" fontId="20" fillId="0" borderId="0" xfId="0" applyFont="1"/>
    <xf numFmtId="0" fontId="0" fillId="0" borderId="2" xfId="0" applyBorder="1"/>
    <xf numFmtId="3" fontId="14" fillId="0" borderId="0" xfId="0" applyNumberFormat="1" applyFont="1" applyFill="1" applyBorder="1"/>
    <xf numFmtId="3" fontId="11" fillId="0" borderId="0" xfId="0" applyNumberFormat="1" applyFont="1" applyProtection="1">
      <protection locked="0"/>
    </xf>
    <xf numFmtId="3" fontId="0" fillId="0" borderId="0" xfId="0" applyNumberFormat="1" applyFill="1"/>
    <xf numFmtId="3" fontId="20" fillId="0" borderId="1" xfId="2" applyNumberFormat="1" applyFont="1" applyFill="1" applyBorder="1"/>
    <xf numFmtId="3" fontId="12" fillId="0" borderId="1" xfId="2" applyNumberFormat="1" applyFont="1" applyFill="1" applyBorder="1"/>
    <xf numFmtId="166" fontId="40" fillId="0" borderId="0" xfId="0" applyNumberFormat="1" applyFont="1" applyFill="1"/>
    <xf numFmtId="164" fontId="0" fillId="0" borderId="0" xfId="0" applyNumberFormat="1"/>
    <xf numFmtId="168" fontId="0" fillId="0" borderId="0" xfId="0" applyNumberFormat="1"/>
    <xf numFmtId="164" fontId="11" fillId="0" borderId="0" xfId="0" applyNumberFormat="1" applyFont="1"/>
    <xf numFmtId="0" fontId="20" fillId="0" borderId="6" xfId="0" applyFont="1" applyBorder="1" applyAlignment="1"/>
    <xf numFmtId="0" fontId="34" fillId="0" borderId="6" xfId="0" applyFont="1" applyBorder="1" applyAlignment="1"/>
    <xf numFmtId="3" fontId="27" fillId="0" borderId="5" xfId="0" applyNumberFormat="1" applyFont="1" applyFill="1" applyBorder="1" applyAlignment="1">
      <alignment horizontal="right"/>
    </xf>
    <xf numFmtId="0" fontId="38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/>
    <xf numFmtId="3" fontId="12" fillId="0" borderId="5" xfId="0" applyNumberFormat="1" applyFont="1" applyFill="1" applyBorder="1" applyAlignment="1">
      <alignment horizontal="right"/>
    </xf>
    <xf numFmtId="3" fontId="36" fillId="0" borderId="5" xfId="0" applyNumberFormat="1" applyFont="1" applyFill="1" applyBorder="1" applyAlignment="1">
      <alignment horizontal="right"/>
    </xf>
    <xf numFmtId="0" fontId="37" fillId="0" borderId="0" xfId="0" applyFont="1" applyAlignment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-Times New Roman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3"/>
  <sheetViews>
    <sheetView tabSelected="1" zoomScaleNormal="100" workbookViewId="0">
      <pane ySplit="1710" topLeftCell="A82" activePane="bottomLeft"/>
      <selection sqref="A1:XFD1048576"/>
      <selection pane="bottomLeft" activeCell="A83" sqref="A83"/>
    </sheetView>
  </sheetViews>
  <sheetFormatPr defaultRowHeight="15" x14ac:dyDescent="0.25"/>
  <cols>
    <col min="1" max="1" width="13.140625" customWidth="1"/>
    <col min="2" max="2" width="10.5703125" customWidth="1"/>
    <col min="3" max="3" width="113.5703125" bestFit="1" customWidth="1"/>
    <col min="4" max="4" width="4.5703125" customWidth="1"/>
    <col min="5" max="5" width="15.28515625" bestFit="1" customWidth="1"/>
    <col min="6" max="6" width="15.5703125" customWidth="1"/>
    <col min="7" max="7" width="10.5703125" bestFit="1" customWidth="1"/>
    <col min="8" max="8" width="44.42578125" bestFit="1" customWidth="1"/>
    <col min="9" max="9" width="12.7109375" style="56" bestFit="1" customWidth="1"/>
    <col min="10" max="10" width="16.140625" style="88" bestFit="1" customWidth="1"/>
    <col min="11" max="11" width="10.5703125" style="60" bestFit="1" customWidth="1"/>
    <col min="12" max="12" width="35.140625" bestFit="1" customWidth="1"/>
    <col min="13" max="13" width="16.42578125" bestFit="1" customWidth="1"/>
    <col min="14" max="14" width="16.7109375" bestFit="1" customWidth="1"/>
    <col min="15" max="15" width="10.28515625" bestFit="1" customWidth="1"/>
  </cols>
  <sheetData>
    <row r="1" spans="1:17" ht="18" x14ac:dyDescent="0.35">
      <c r="A1" s="136" t="s">
        <v>102</v>
      </c>
      <c r="B1" s="137"/>
      <c r="C1" s="137"/>
      <c r="D1" s="137"/>
      <c r="E1" s="137"/>
      <c r="F1" s="137"/>
      <c r="G1" s="137"/>
      <c r="H1" s="137"/>
      <c r="I1" s="137"/>
      <c r="J1" s="137"/>
      <c r="K1" s="78"/>
    </row>
    <row r="2" spans="1:17" ht="15.6" x14ac:dyDescent="0.3">
      <c r="A2" s="4" t="s">
        <v>101</v>
      </c>
      <c r="B2" s="3"/>
      <c r="C2" s="3"/>
      <c r="D2" s="2"/>
      <c r="E2" s="3"/>
      <c r="F2" s="3"/>
      <c r="G2" s="8">
        <v>2313731</v>
      </c>
      <c r="H2" s="5" t="s">
        <v>105</v>
      </c>
      <c r="I2" s="5"/>
      <c r="J2" s="84"/>
      <c r="K2" s="79"/>
      <c r="L2" s="3"/>
      <c r="M2" s="6"/>
      <c r="O2" s="3"/>
    </row>
    <row r="3" spans="1:17" ht="18" x14ac:dyDescent="0.35">
      <c r="A3" s="1"/>
      <c r="B3" s="11"/>
      <c r="C3" s="11"/>
      <c r="D3" s="11"/>
      <c r="E3" s="11"/>
      <c r="F3" s="11"/>
      <c r="G3" s="12" t="s">
        <v>32</v>
      </c>
      <c r="H3" s="12" t="s">
        <v>74</v>
      </c>
      <c r="I3" s="57" t="s">
        <v>32</v>
      </c>
      <c r="J3" s="85" t="s">
        <v>97</v>
      </c>
      <c r="K3" s="57" t="s">
        <v>32</v>
      </c>
      <c r="L3" s="12" t="s">
        <v>41</v>
      </c>
      <c r="M3" s="122"/>
      <c r="N3" s="122"/>
      <c r="O3" s="13" t="s">
        <v>69</v>
      </c>
    </row>
    <row r="4" spans="1:17" ht="18" x14ac:dyDescent="0.35">
      <c r="A4" s="14" t="s">
        <v>4</v>
      </c>
      <c r="B4" s="11"/>
      <c r="C4" s="11"/>
      <c r="D4" s="11"/>
      <c r="E4" s="11"/>
      <c r="F4" s="11"/>
      <c r="G4" s="15">
        <v>2019</v>
      </c>
      <c r="H4" s="15"/>
      <c r="I4" s="58">
        <v>2020</v>
      </c>
      <c r="J4" s="86" t="s">
        <v>110</v>
      </c>
      <c r="K4" s="58">
        <v>2021</v>
      </c>
      <c r="L4" s="16" t="s">
        <v>64</v>
      </c>
      <c r="M4" s="16" t="s">
        <v>82</v>
      </c>
      <c r="N4" s="16" t="s">
        <v>104</v>
      </c>
      <c r="O4" s="17" t="s">
        <v>70</v>
      </c>
    </row>
    <row r="5" spans="1:17" ht="18" x14ac:dyDescent="0.35">
      <c r="A5" s="18">
        <v>1</v>
      </c>
      <c r="B5" s="69" t="s">
        <v>85</v>
      </c>
      <c r="C5" s="18"/>
      <c r="D5" s="18"/>
      <c r="E5" s="18"/>
      <c r="F5" s="18"/>
      <c r="G5" s="19"/>
      <c r="H5" s="19"/>
      <c r="I5" s="19"/>
      <c r="J5" s="80"/>
      <c r="K5" s="49"/>
      <c r="L5" s="93"/>
      <c r="M5" s="18"/>
      <c r="O5" s="18"/>
    </row>
    <row r="6" spans="1:17" ht="18" x14ac:dyDescent="0.35">
      <c r="A6" s="18">
        <v>2</v>
      </c>
      <c r="B6" s="18"/>
      <c r="C6" s="18" t="s">
        <v>24</v>
      </c>
      <c r="D6" s="20"/>
      <c r="E6" s="18"/>
      <c r="F6" s="18"/>
      <c r="G6" s="21">
        <v>104016.65832</v>
      </c>
      <c r="H6" s="70">
        <v>106158</v>
      </c>
      <c r="I6" s="59">
        <v>93775</v>
      </c>
      <c r="J6" s="59">
        <v>91235.64</v>
      </c>
      <c r="K6" s="59">
        <v>92202.812711999999</v>
      </c>
      <c r="L6" s="94">
        <v>433402743</v>
      </c>
      <c r="M6" s="19">
        <v>453021236</v>
      </c>
      <c r="N6" s="90">
        <v>445424216</v>
      </c>
      <c r="O6" s="22">
        <v>-1.7000000000000015E-2</v>
      </c>
      <c r="P6" s="67"/>
    </row>
    <row r="7" spans="1:17" ht="18" x14ac:dyDescent="0.35">
      <c r="A7" s="18">
        <v>3</v>
      </c>
      <c r="B7" s="18"/>
      <c r="C7" s="18" t="s">
        <v>25</v>
      </c>
      <c r="D7" s="20"/>
      <c r="E7" s="18"/>
      <c r="F7" s="18"/>
      <c r="G7" s="19">
        <v>280361.76023999997</v>
      </c>
      <c r="H7" s="71">
        <v>277907</v>
      </c>
      <c r="I7" s="19">
        <v>264489</v>
      </c>
      <c r="J7" s="59">
        <v>249682.58000000002</v>
      </c>
      <c r="K7" s="19">
        <v>280838.47837500001</v>
      </c>
      <c r="L7" s="94">
        <v>1168174001</v>
      </c>
      <c r="M7" s="19">
        <v>1277725200</v>
      </c>
      <c r="N7" s="92">
        <v>1356707625</v>
      </c>
      <c r="O7" s="22">
        <v>6.2E-2</v>
      </c>
    </row>
    <row r="8" spans="1:17" ht="18" x14ac:dyDescent="0.35">
      <c r="A8" s="18">
        <v>4</v>
      </c>
      <c r="B8" s="18"/>
      <c r="C8" s="18" t="s">
        <v>26</v>
      </c>
      <c r="D8" s="20"/>
      <c r="E8" s="18"/>
      <c r="F8" s="18"/>
      <c r="G8" s="19">
        <v>103091.56943999999</v>
      </c>
      <c r="H8" s="23">
        <v>106494</v>
      </c>
      <c r="I8" s="19">
        <v>91975.141277999996</v>
      </c>
      <c r="J8" s="59">
        <v>83075.23000000001</v>
      </c>
      <c r="K8" s="19">
        <v>91975.141277999996</v>
      </c>
      <c r="L8" s="94">
        <v>429548206</v>
      </c>
      <c r="M8" s="19">
        <v>444324354</v>
      </c>
      <c r="N8" s="92">
        <v>434952443</v>
      </c>
      <c r="O8" s="131">
        <v>-2.1092499017058119E-2</v>
      </c>
      <c r="P8" s="129"/>
      <c r="Q8" s="130"/>
    </row>
    <row r="9" spans="1:17" ht="18" x14ac:dyDescent="0.35">
      <c r="A9" s="18">
        <v>5</v>
      </c>
      <c r="B9" s="18"/>
      <c r="C9" s="18" t="s">
        <v>22</v>
      </c>
      <c r="D9" s="20"/>
      <c r="E9" s="18"/>
      <c r="F9" s="18"/>
      <c r="G9" s="24">
        <v>455.43264000000005</v>
      </c>
      <c r="H9" s="72">
        <v>455</v>
      </c>
      <c r="I9" s="19">
        <v>512.36246699999992</v>
      </c>
      <c r="J9" s="59">
        <v>512</v>
      </c>
      <c r="K9" s="19">
        <v>569.727756</v>
      </c>
      <c r="L9" s="94">
        <v>1897636</v>
      </c>
      <c r="M9" s="19">
        <v>2475181</v>
      </c>
      <c r="N9" s="92">
        <v>2752308</v>
      </c>
      <c r="O9" s="22">
        <f>N9/M9/100</f>
        <v>1.1119623170992344E-2</v>
      </c>
    </row>
    <row r="10" spans="1:17" ht="18" x14ac:dyDescent="0.35">
      <c r="A10" s="18">
        <v>6</v>
      </c>
      <c r="B10" s="18"/>
      <c r="C10" s="18" t="s">
        <v>29</v>
      </c>
      <c r="D10" s="20"/>
      <c r="E10" s="18"/>
      <c r="F10" s="18"/>
      <c r="G10" s="19">
        <v>487925</v>
      </c>
      <c r="H10" s="23">
        <f t="shared" ref="H10:K10" si="0">SUM(H6:H9)</f>
        <v>491014</v>
      </c>
      <c r="I10" s="19">
        <f t="shared" si="0"/>
        <v>450751.50374499999</v>
      </c>
      <c r="J10" s="59">
        <f>SUM(J6:J9)</f>
        <v>424505.45000000007</v>
      </c>
      <c r="K10" s="19">
        <f t="shared" si="0"/>
        <v>465586.16012100002</v>
      </c>
      <c r="L10" s="94">
        <f>SUM(L6:L9)</f>
        <v>2033022586</v>
      </c>
      <c r="M10" s="19">
        <f>SUM(M6:M9)</f>
        <v>2177545971</v>
      </c>
      <c r="N10" s="19">
        <f>SUM(N6:N9)</f>
        <v>2239836592</v>
      </c>
      <c r="O10" s="22">
        <f>N10/M10-1</f>
        <v>2.8605881037447878E-2</v>
      </c>
    </row>
    <row r="11" spans="1:17" ht="18" x14ac:dyDescent="0.35">
      <c r="A11" s="18">
        <v>7</v>
      </c>
      <c r="B11" s="18"/>
      <c r="C11" s="18" t="s">
        <v>67</v>
      </c>
      <c r="D11" s="20"/>
      <c r="E11" s="18"/>
      <c r="F11" s="18"/>
      <c r="G11" s="18">
        <v>23000</v>
      </c>
      <c r="H11" s="73">
        <v>30406</v>
      </c>
      <c r="I11" s="127">
        <v>23000</v>
      </c>
      <c r="J11" s="126">
        <v>43469.84</v>
      </c>
      <c r="K11" s="25">
        <v>25000</v>
      </c>
      <c r="L11" s="23">
        <v>2000</v>
      </c>
      <c r="M11" s="117">
        <v>12757.3666666667</v>
      </c>
      <c r="N11" s="132" t="s">
        <v>109</v>
      </c>
      <c r="O11" s="133"/>
    </row>
    <row r="12" spans="1:17" ht="18" x14ac:dyDescent="0.35">
      <c r="A12" s="18">
        <v>8</v>
      </c>
      <c r="B12" s="18"/>
      <c r="C12" s="18" t="s">
        <v>35</v>
      </c>
      <c r="D12" s="20"/>
      <c r="E12" s="18"/>
      <c r="F12" s="18"/>
      <c r="G12" s="18">
        <v>17800</v>
      </c>
      <c r="H12" s="73" t="s">
        <v>83</v>
      </c>
      <c r="I12" s="25">
        <v>17800</v>
      </c>
      <c r="J12" s="73" t="s">
        <v>83</v>
      </c>
      <c r="K12" s="25">
        <v>17800</v>
      </c>
      <c r="L12" s="19">
        <v>0</v>
      </c>
      <c r="M12" s="27"/>
      <c r="N12" s="90"/>
      <c r="O12" s="28"/>
      <c r="P12" s="90"/>
      <c r="Q12" s="120"/>
    </row>
    <row r="13" spans="1:17" ht="18" x14ac:dyDescent="0.35">
      <c r="A13" s="18">
        <v>9</v>
      </c>
      <c r="B13" s="18"/>
      <c r="C13" s="18" t="s">
        <v>28</v>
      </c>
      <c r="D13" s="20"/>
      <c r="E13" s="18"/>
      <c r="F13" s="18"/>
      <c r="G13" s="18">
        <v>8910</v>
      </c>
      <c r="H13" s="23" t="s">
        <v>83</v>
      </c>
      <c r="I13" s="19">
        <v>8910</v>
      </c>
      <c r="J13" s="23" t="s">
        <v>83</v>
      </c>
      <c r="K13" s="19">
        <v>8910</v>
      </c>
      <c r="L13" s="19">
        <v>0</v>
      </c>
      <c r="M13" s="52"/>
      <c r="O13" s="52"/>
    </row>
    <row r="14" spans="1:17" ht="18" x14ac:dyDescent="0.35">
      <c r="A14" s="18">
        <v>10</v>
      </c>
      <c r="B14" s="18"/>
      <c r="C14" s="18" t="s">
        <v>36</v>
      </c>
      <c r="D14" s="20"/>
      <c r="E14" s="18"/>
      <c r="F14" s="18"/>
      <c r="G14" s="18">
        <v>2000</v>
      </c>
      <c r="H14" s="23">
        <v>5352</v>
      </c>
      <c r="I14" s="19">
        <v>2000</v>
      </c>
      <c r="J14" s="19">
        <v>0</v>
      </c>
      <c r="K14" s="19">
        <v>2000</v>
      </c>
      <c r="L14" s="113">
        <v>0</v>
      </c>
      <c r="M14" s="52"/>
      <c r="N14" s="130"/>
      <c r="O14" s="52"/>
    </row>
    <row r="15" spans="1:17" ht="18" x14ac:dyDescent="0.35">
      <c r="A15" s="18">
        <v>11</v>
      </c>
      <c r="B15" s="18"/>
      <c r="C15" s="18" t="s">
        <v>30</v>
      </c>
      <c r="D15" s="30"/>
      <c r="E15" s="18"/>
      <c r="F15" s="18"/>
      <c r="G15" s="19">
        <v>539635</v>
      </c>
      <c r="H15" s="23">
        <f>SUM(H10:H14)</f>
        <v>526772</v>
      </c>
      <c r="I15" s="19">
        <f>SUM(I10:I14)</f>
        <v>502461.50374499999</v>
      </c>
      <c r="J15" s="54">
        <f>J10+J11</f>
        <v>467975.29000000004</v>
      </c>
      <c r="K15" s="96">
        <f>K10+K11+K12+K13+K14</f>
        <v>519296.16012100002</v>
      </c>
      <c r="L15" s="23">
        <f>K15-I15</f>
        <v>16834.656376000028</v>
      </c>
      <c r="M15" s="52"/>
      <c r="O15" s="52"/>
    </row>
    <row r="16" spans="1:17" ht="18" x14ac:dyDescent="0.35">
      <c r="A16" s="31" t="s">
        <v>0</v>
      </c>
      <c r="B16" s="18"/>
      <c r="C16" s="18"/>
      <c r="D16" s="18"/>
      <c r="E16" s="18"/>
      <c r="F16" s="18"/>
      <c r="G16" s="18"/>
      <c r="H16" s="23"/>
      <c r="I16" s="19"/>
      <c r="J16" s="108"/>
      <c r="K16" s="109"/>
      <c r="L16" s="19"/>
      <c r="M16" s="52"/>
      <c r="O16" s="52"/>
    </row>
    <row r="17" spans="1:15" ht="18" x14ac:dyDescent="0.35">
      <c r="A17" s="18">
        <v>12</v>
      </c>
      <c r="B17" s="18" t="s">
        <v>20</v>
      </c>
      <c r="C17" s="18"/>
      <c r="D17" s="18"/>
      <c r="E17" s="18"/>
      <c r="F17" s="18"/>
      <c r="G17" s="18"/>
      <c r="H17" s="23"/>
      <c r="I17" s="19"/>
      <c r="J17" s="108"/>
      <c r="K17" s="109"/>
      <c r="L17" s="19"/>
      <c r="M17" s="52"/>
      <c r="O17" s="52"/>
    </row>
    <row r="18" spans="1:15" ht="18" x14ac:dyDescent="0.35">
      <c r="A18" s="18">
        <v>13</v>
      </c>
      <c r="B18" s="18"/>
      <c r="C18" s="18" t="s">
        <v>1</v>
      </c>
      <c r="D18" s="18"/>
      <c r="E18" s="18"/>
      <c r="F18" s="18"/>
      <c r="G18" s="19">
        <v>4404</v>
      </c>
      <c r="H18" s="23">
        <v>4155</v>
      </c>
      <c r="I18" s="19">
        <v>4404</v>
      </c>
      <c r="J18" s="19">
        <v>1691.32</v>
      </c>
      <c r="K18" s="19">
        <v>4404</v>
      </c>
      <c r="L18" s="19">
        <f>K18-I18</f>
        <v>0</v>
      </c>
      <c r="M18" s="52"/>
      <c r="O18" s="52"/>
    </row>
    <row r="19" spans="1:15" ht="18" x14ac:dyDescent="0.35">
      <c r="A19" s="18">
        <v>14</v>
      </c>
      <c r="B19" s="18"/>
      <c r="C19" s="18" t="s">
        <v>2</v>
      </c>
      <c r="D19" s="18"/>
      <c r="E19" s="18"/>
      <c r="F19" s="18"/>
      <c r="G19" s="23">
        <v>7167</v>
      </c>
      <c r="H19" s="23">
        <v>6774</v>
      </c>
      <c r="I19" s="19">
        <v>7713</v>
      </c>
      <c r="J19" s="19">
        <v>6934.5</v>
      </c>
      <c r="K19" s="19">
        <v>7713</v>
      </c>
      <c r="L19" s="19">
        <f t="shared" ref="L19:L27" si="1">K19-I19</f>
        <v>0</v>
      </c>
      <c r="M19" s="52"/>
      <c r="O19" s="52"/>
    </row>
    <row r="20" spans="1:15" ht="18" x14ac:dyDescent="0.35">
      <c r="A20" s="18">
        <v>15</v>
      </c>
      <c r="B20" s="18"/>
      <c r="C20" s="18" t="s">
        <v>3</v>
      </c>
      <c r="D20" s="18"/>
      <c r="E20" s="18"/>
      <c r="F20" s="18"/>
      <c r="G20" s="23">
        <v>2542</v>
      </c>
      <c r="H20" s="23">
        <v>2377</v>
      </c>
      <c r="I20" s="19">
        <v>2542</v>
      </c>
      <c r="J20" s="19">
        <v>1642.5</v>
      </c>
      <c r="K20" s="19">
        <v>2542</v>
      </c>
      <c r="L20" s="19">
        <f t="shared" si="1"/>
        <v>0</v>
      </c>
      <c r="M20" s="52"/>
      <c r="O20" s="52"/>
    </row>
    <row r="21" spans="1:15" ht="18" x14ac:dyDescent="0.35">
      <c r="A21" s="18">
        <v>16</v>
      </c>
      <c r="B21" s="18"/>
      <c r="C21" s="18" t="s">
        <v>23</v>
      </c>
      <c r="D21" s="18"/>
      <c r="E21" s="18"/>
      <c r="F21" s="18"/>
      <c r="G21" s="19">
        <v>5</v>
      </c>
      <c r="H21" s="23">
        <v>4</v>
      </c>
      <c r="I21" s="19">
        <v>6</v>
      </c>
      <c r="J21" s="19">
        <v>3</v>
      </c>
      <c r="K21" s="19">
        <v>6</v>
      </c>
      <c r="L21" s="19">
        <f t="shared" si="1"/>
        <v>0</v>
      </c>
      <c r="M21" s="52"/>
      <c r="O21" s="52"/>
    </row>
    <row r="22" spans="1:15" ht="18" x14ac:dyDescent="0.35">
      <c r="A22" s="32">
        <v>17</v>
      </c>
      <c r="B22" s="18" t="s">
        <v>81</v>
      </c>
      <c r="D22" s="18"/>
      <c r="E22" s="18"/>
      <c r="F22" s="18"/>
      <c r="G22" s="19">
        <f t="shared" ref="G22:J22" si="2">SUM(G18:G21)</f>
        <v>14118</v>
      </c>
      <c r="H22" s="23">
        <f t="shared" si="2"/>
        <v>13310</v>
      </c>
      <c r="I22" s="19">
        <f t="shared" si="2"/>
        <v>14665</v>
      </c>
      <c r="J22" s="19">
        <f t="shared" si="2"/>
        <v>10271.32</v>
      </c>
      <c r="K22" s="19">
        <v>14665</v>
      </c>
      <c r="L22" s="19">
        <f t="shared" si="1"/>
        <v>0</v>
      </c>
      <c r="M22" s="52"/>
      <c r="O22" s="52"/>
    </row>
    <row r="23" spans="1:15" s="10" customFormat="1" ht="18" x14ac:dyDescent="0.35">
      <c r="A23" s="32">
        <v>18</v>
      </c>
      <c r="B23" s="32"/>
      <c r="C23" s="32" t="s">
        <v>1</v>
      </c>
      <c r="D23" s="34"/>
      <c r="E23" s="32"/>
      <c r="F23" s="32"/>
      <c r="G23" s="35">
        <v>3600</v>
      </c>
      <c r="H23" s="97">
        <v>6088</v>
      </c>
      <c r="I23" s="35">
        <v>3900</v>
      </c>
      <c r="J23" s="110">
        <v>1587.5</v>
      </c>
      <c r="K23" s="35">
        <v>3900</v>
      </c>
      <c r="L23" s="19">
        <f t="shared" si="1"/>
        <v>0</v>
      </c>
      <c r="M23" s="61"/>
      <c r="O23" s="61"/>
    </row>
    <row r="24" spans="1:15" s="10" customFormat="1" ht="18" x14ac:dyDescent="0.35">
      <c r="A24" s="32">
        <v>19</v>
      </c>
      <c r="B24" s="32"/>
      <c r="C24" s="32" t="s">
        <v>2</v>
      </c>
      <c r="D24" s="34"/>
      <c r="E24" s="32"/>
      <c r="F24" s="32"/>
      <c r="G24" s="35">
        <v>2071</v>
      </c>
      <c r="H24" s="36">
        <v>2200</v>
      </c>
      <c r="I24" s="35">
        <v>2189</v>
      </c>
      <c r="J24" s="110">
        <v>2338.25</v>
      </c>
      <c r="K24" s="35">
        <v>2189</v>
      </c>
      <c r="L24" s="19">
        <f t="shared" si="1"/>
        <v>0</v>
      </c>
      <c r="M24" s="61"/>
      <c r="O24" s="61"/>
    </row>
    <row r="25" spans="1:15" s="10" customFormat="1" ht="18" x14ac:dyDescent="0.35">
      <c r="A25" s="32">
        <v>20</v>
      </c>
      <c r="B25" s="32"/>
      <c r="C25" s="32" t="s">
        <v>21</v>
      </c>
      <c r="D25" s="34"/>
      <c r="E25" s="32"/>
      <c r="F25" s="32"/>
      <c r="G25" s="36">
        <v>6805</v>
      </c>
      <c r="H25" s="39">
        <v>6805</v>
      </c>
      <c r="I25" s="35">
        <v>6805</v>
      </c>
      <c r="J25" s="35">
        <v>1688</v>
      </c>
      <c r="K25" s="35">
        <v>6805</v>
      </c>
      <c r="L25" s="19">
        <f t="shared" si="1"/>
        <v>0</v>
      </c>
      <c r="M25" s="61"/>
      <c r="O25" s="61"/>
    </row>
    <row r="26" spans="1:15" s="10" customFormat="1" ht="18" x14ac:dyDescent="0.35">
      <c r="A26" s="32">
        <v>21</v>
      </c>
      <c r="B26" s="32"/>
      <c r="C26" s="32" t="s">
        <v>78</v>
      </c>
      <c r="D26" s="34"/>
      <c r="E26" s="32"/>
      <c r="F26" s="32"/>
      <c r="G26" s="36">
        <f>SUM(G23:G25)</f>
        <v>12476</v>
      </c>
      <c r="H26" s="36">
        <f>SUM(H23:H25)</f>
        <v>15093</v>
      </c>
      <c r="I26" s="35">
        <f>SUM(I23:I25)</f>
        <v>12894</v>
      </c>
      <c r="J26" s="110">
        <f>J23+J25</f>
        <v>3275.5</v>
      </c>
      <c r="K26" s="35">
        <v>12894</v>
      </c>
      <c r="L26" s="19">
        <f t="shared" si="1"/>
        <v>0</v>
      </c>
      <c r="M26" s="62"/>
      <c r="O26" s="61"/>
    </row>
    <row r="27" spans="1:15" s="10" customFormat="1" ht="18" x14ac:dyDescent="0.35">
      <c r="A27" s="32">
        <v>22</v>
      </c>
      <c r="B27" s="37"/>
      <c r="C27" s="32" t="s">
        <v>61</v>
      </c>
      <c r="D27" s="38"/>
      <c r="E27" s="32"/>
      <c r="F27" s="32"/>
      <c r="G27" s="35">
        <v>26472</v>
      </c>
      <c r="H27" s="36">
        <f>H22+H26</f>
        <v>28403</v>
      </c>
      <c r="I27" s="35">
        <f>I22+I26</f>
        <v>27559</v>
      </c>
      <c r="J27" s="110">
        <f>J22+J26</f>
        <v>13546.82</v>
      </c>
      <c r="K27" s="35">
        <v>27559</v>
      </c>
      <c r="L27" s="19">
        <f t="shared" si="1"/>
        <v>0</v>
      </c>
      <c r="M27" s="62"/>
      <c r="O27" s="61"/>
    </row>
    <row r="28" spans="1:15" s="10" customFormat="1" ht="18" x14ac:dyDescent="0.35">
      <c r="A28" s="32" t="s">
        <v>7</v>
      </c>
      <c r="C28" s="32"/>
      <c r="D28" s="34"/>
      <c r="E28" s="32"/>
      <c r="F28" s="32"/>
      <c r="G28" s="35"/>
      <c r="H28" s="36"/>
      <c r="I28" s="35"/>
      <c r="J28" s="110"/>
      <c r="K28" s="35"/>
      <c r="L28" s="40"/>
      <c r="M28" s="62"/>
      <c r="O28" s="61"/>
    </row>
    <row r="29" spans="1:15" s="10" customFormat="1" ht="18" x14ac:dyDescent="0.35">
      <c r="A29" s="32">
        <v>23</v>
      </c>
      <c r="B29" s="32"/>
      <c r="C29" s="32" t="s">
        <v>19</v>
      </c>
      <c r="D29" s="34"/>
      <c r="E29" s="32"/>
      <c r="F29" s="32"/>
      <c r="G29" s="39">
        <v>63345</v>
      </c>
      <c r="H29" s="39">
        <v>63345</v>
      </c>
      <c r="I29" s="32">
        <v>63345</v>
      </c>
      <c r="J29" s="124">
        <v>43854.12</v>
      </c>
      <c r="K29" s="35">
        <v>30000</v>
      </c>
      <c r="L29" s="114">
        <f t="shared" ref="L29:L78" si="3">K29-I29</f>
        <v>-33345</v>
      </c>
      <c r="M29" s="62"/>
      <c r="O29" s="61"/>
    </row>
    <row r="30" spans="1:15" s="10" customFormat="1" ht="18" x14ac:dyDescent="0.35">
      <c r="A30" s="32">
        <v>24</v>
      </c>
      <c r="B30" s="32"/>
      <c r="C30" s="32" t="s">
        <v>8</v>
      </c>
      <c r="D30" s="34"/>
      <c r="E30" s="32"/>
      <c r="F30" s="32"/>
      <c r="G30" s="39">
        <v>33915</v>
      </c>
      <c r="H30" s="39">
        <v>33915</v>
      </c>
      <c r="I30" s="32">
        <v>33915</v>
      </c>
      <c r="J30" s="110">
        <v>23480.100000000002</v>
      </c>
      <c r="K30" s="35">
        <v>35610</v>
      </c>
      <c r="L30" s="19">
        <f t="shared" si="3"/>
        <v>1695</v>
      </c>
      <c r="M30" s="62"/>
      <c r="O30" s="61"/>
    </row>
    <row r="31" spans="1:15" s="10" customFormat="1" ht="18" x14ac:dyDescent="0.35">
      <c r="A31" s="32">
        <v>25</v>
      </c>
      <c r="B31" s="32"/>
      <c r="C31" s="32" t="s">
        <v>55</v>
      </c>
      <c r="D31" s="34"/>
      <c r="E31" s="32"/>
      <c r="F31" s="32"/>
      <c r="G31" s="36">
        <v>100000</v>
      </c>
      <c r="H31" s="74">
        <v>24231</v>
      </c>
      <c r="I31" s="35">
        <v>60000</v>
      </c>
      <c r="J31" s="110">
        <v>41538.42</v>
      </c>
      <c r="K31" s="118">
        <v>63000</v>
      </c>
      <c r="L31" s="19">
        <f t="shared" si="3"/>
        <v>3000</v>
      </c>
      <c r="M31" s="62"/>
      <c r="N31" s="125"/>
      <c r="O31" s="61"/>
    </row>
    <row r="32" spans="1:15" s="10" customFormat="1" ht="18" x14ac:dyDescent="0.35">
      <c r="A32" s="32">
        <v>26</v>
      </c>
      <c r="B32" s="32"/>
      <c r="C32" s="32" t="s">
        <v>9</v>
      </c>
      <c r="D32" s="34"/>
      <c r="E32" s="32"/>
      <c r="F32" s="32"/>
      <c r="G32" s="36">
        <v>4284</v>
      </c>
      <c r="H32" s="99">
        <v>5865</v>
      </c>
      <c r="I32" s="35">
        <v>23460</v>
      </c>
      <c r="J32" s="110">
        <v>17804.36</v>
      </c>
      <c r="K32" s="35">
        <v>25780</v>
      </c>
      <c r="L32" s="23">
        <f t="shared" si="3"/>
        <v>2320</v>
      </c>
      <c r="M32" s="62"/>
      <c r="O32" s="61"/>
    </row>
    <row r="33" spans="1:15" s="10" customFormat="1" ht="18" x14ac:dyDescent="0.35">
      <c r="A33" s="32">
        <v>27</v>
      </c>
      <c r="B33" s="32"/>
      <c r="C33" s="32" t="s">
        <v>79</v>
      </c>
      <c r="D33" s="34"/>
      <c r="E33" s="32"/>
      <c r="F33" s="32"/>
      <c r="G33" s="36">
        <v>0</v>
      </c>
      <c r="H33" s="36">
        <v>994</v>
      </c>
      <c r="I33" s="35">
        <v>12400</v>
      </c>
      <c r="J33" s="110">
        <v>8298</v>
      </c>
      <c r="K33" s="35">
        <v>7857</v>
      </c>
      <c r="L33" s="114">
        <f t="shared" si="3"/>
        <v>-4543</v>
      </c>
      <c r="M33" s="62"/>
      <c r="O33" s="61"/>
    </row>
    <row r="34" spans="1:15" s="10" customFormat="1" ht="18" x14ac:dyDescent="0.35">
      <c r="A34" s="32" t="s">
        <v>62</v>
      </c>
      <c r="C34" s="32"/>
      <c r="D34" s="34"/>
      <c r="E34" s="32"/>
      <c r="F34" s="32"/>
      <c r="G34" s="36"/>
      <c r="H34" s="36"/>
      <c r="I34" s="35"/>
      <c r="J34" s="110"/>
      <c r="K34" s="35"/>
      <c r="L34" s="40"/>
      <c r="M34" s="62"/>
      <c r="O34" s="61"/>
    </row>
    <row r="35" spans="1:15" s="10" customFormat="1" ht="18" x14ac:dyDescent="0.35">
      <c r="A35" s="32">
        <v>28</v>
      </c>
      <c r="B35" s="32"/>
      <c r="C35" s="32" t="s">
        <v>56</v>
      </c>
      <c r="D35" s="34"/>
      <c r="E35" s="32"/>
      <c r="F35" s="32"/>
      <c r="G35" s="36">
        <v>849</v>
      </c>
      <c r="H35" s="39">
        <v>821</v>
      </c>
      <c r="I35" s="35">
        <v>849</v>
      </c>
      <c r="J35" s="110">
        <v>0</v>
      </c>
      <c r="K35" s="35">
        <v>904</v>
      </c>
      <c r="L35" s="19">
        <f t="shared" si="3"/>
        <v>55</v>
      </c>
      <c r="M35" s="62"/>
      <c r="O35" s="61"/>
    </row>
    <row r="36" spans="1:15" s="10" customFormat="1" ht="18" x14ac:dyDescent="0.35">
      <c r="A36" s="32">
        <v>29</v>
      </c>
      <c r="B36" s="32"/>
      <c r="C36" s="32" t="s">
        <v>45</v>
      </c>
      <c r="D36" s="34"/>
      <c r="E36" s="32"/>
      <c r="F36" s="32"/>
      <c r="G36" s="36">
        <v>360</v>
      </c>
      <c r="H36" s="36">
        <v>368</v>
      </c>
      <c r="I36" s="35">
        <v>570</v>
      </c>
      <c r="J36" s="110">
        <v>0</v>
      </c>
      <c r="K36" s="35">
        <v>578</v>
      </c>
      <c r="L36" s="19">
        <f t="shared" si="3"/>
        <v>8</v>
      </c>
      <c r="M36" s="62"/>
      <c r="O36" s="61"/>
    </row>
    <row r="37" spans="1:15" s="10" customFormat="1" ht="18" x14ac:dyDescent="0.35">
      <c r="A37" s="32">
        <v>30</v>
      </c>
      <c r="B37" s="32"/>
      <c r="C37" s="39" t="s">
        <v>37</v>
      </c>
      <c r="D37" s="32"/>
      <c r="E37" s="34"/>
      <c r="F37" s="34"/>
      <c r="G37" s="35">
        <v>615</v>
      </c>
      <c r="H37" s="36">
        <v>615</v>
      </c>
      <c r="I37" s="35">
        <v>605</v>
      </c>
      <c r="J37" s="110">
        <v>0</v>
      </c>
      <c r="K37" s="35">
        <v>561</v>
      </c>
      <c r="L37" s="114">
        <f t="shared" si="3"/>
        <v>-44</v>
      </c>
      <c r="M37" s="62"/>
      <c r="O37" s="61"/>
    </row>
    <row r="38" spans="1:15" s="10" customFormat="1" ht="18" x14ac:dyDescent="0.35">
      <c r="A38" s="32">
        <v>31</v>
      </c>
      <c r="B38" s="32"/>
      <c r="C38" s="39" t="s">
        <v>63</v>
      </c>
      <c r="D38" s="32"/>
      <c r="E38" s="34"/>
      <c r="F38" s="34"/>
      <c r="G38" s="36">
        <v>0</v>
      </c>
      <c r="H38" s="36">
        <v>0</v>
      </c>
      <c r="I38" s="35">
        <v>936</v>
      </c>
      <c r="J38" s="110">
        <v>936</v>
      </c>
      <c r="K38" s="35">
        <v>0</v>
      </c>
      <c r="L38" s="114">
        <f t="shared" si="3"/>
        <v>-936</v>
      </c>
      <c r="M38" s="62"/>
      <c r="O38" s="61"/>
    </row>
    <row r="39" spans="1:15" s="10" customFormat="1" ht="18" x14ac:dyDescent="0.35">
      <c r="A39" s="32">
        <v>32</v>
      </c>
      <c r="B39" s="32"/>
      <c r="C39" s="39" t="s">
        <v>65</v>
      </c>
      <c r="D39" s="32"/>
      <c r="E39" s="34"/>
      <c r="F39" s="34"/>
      <c r="G39" s="36">
        <v>1833</v>
      </c>
      <c r="H39" s="36">
        <v>1833</v>
      </c>
      <c r="I39" s="35">
        <v>2065</v>
      </c>
      <c r="J39" s="110">
        <v>0</v>
      </c>
      <c r="K39" s="35">
        <v>2050</v>
      </c>
      <c r="L39" s="114">
        <f t="shared" si="3"/>
        <v>-15</v>
      </c>
      <c r="M39" s="62"/>
      <c r="O39" s="61"/>
    </row>
    <row r="40" spans="1:15" s="10" customFormat="1" ht="18" x14ac:dyDescent="0.35">
      <c r="A40" s="32" t="s">
        <v>49</v>
      </c>
      <c r="C40" s="39"/>
      <c r="D40" s="32"/>
      <c r="E40" s="34"/>
      <c r="F40" s="34"/>
      <c r="G40" s="36"/>
      <c r="H40" s="36"/>
      <c r="I40" s="35"/>
      <c r="J40" s="110"/>
      <c r="K40" s="35"/>
      <c r="L40" s="40"/>
      <c r="M40" s="62"/>
      <c r="O40" s="61"/>
    </row>
    <row r="41" spans="1:15" s="10" customFormat="1" ht="18" x14ac:dyDescent="0.35">
      <c r="A41" s="32">
        <v>33</v>
      </c>
      <c r="B41" s="32"/>
      <c r="C41" s="32" t="s">
        <v>31</v>
      </c>
      <c r="D41" s="34"/>
      <c r="E41" s="32"/>
      <c r="F41" s="32"/>
      <c r="G41" s="35">
        <v>7786</v>
      </c>
      <c r="H41" s="36">
        <v>9294</v>
      </c>
      <c r="I41" s="35">
        <v>9750</v>
      </c>
      <c r="J41" s="110">
        <v>8329</v>
      </c>
      <c r="K41" s="35">
        <v>8396</v>
      </c>
      <c r="L41" s="114">
        <f t="shared" si="3"/>
        <v>-1354</v>
      </c>
      <c r="M41" s="62"/>
      <c r="O41" s="61"/>
    </row>
    <row r="42" spans="1:15" s="10" customFormat="1" ht="18" x14ac:dyDescent="0.35">
      <c r="A42" s="32">
        <v>34</v>
      </c>
      <c r="B42" s="32"/>
      <c r="C42" s="32" t="s">
        <v>5</v>
      </c>
      <c r="D42" s="34"/>
      <c r="E42" s="32"/>
      <c r="F42" s="32"/>
      <c r="G42" s="35">
        <v>323</v>
      </c>
      <c r="H42" s="36">
        <v>27</v>
      </c>
      <c r="I42" s="35">
        <v>162</v>
      </c>
      <c r="J42" s="110">
        <v>432</v>
      </c>
      <c r="K42" s="35">
        <v>432</v>
      </c>
      <c r="L42" s="23">
        <f t="shared" si="3"/>
        <v>270</v>
      </c>
      <c r="M42" s="62"/>
      <c r="O42" s="61"/>
    </row>
    <row r="43" spans="1:15" s="10" customFormat="1" ht="18" x14ac:dyDescent="0.35">
      <c r="A43" s="32">
        <v>35</v>
      </c>
      <c r="B43" s="32"/>
      <c r="C43" s="32" t="s">
        <v>33</v>
      </c>
      <c r="D43" s="34"/>
      <c r="E43" s="32"/>
      <c r="F43" s="32"/>
      <c r="G43" s="35">
        <v>1500</v>
      </c>
      <c r="H43" s="36">
        <v>900</v>
      </c>
      <c r="I43" s="35">
        <v>1500</v>
      </c>
      <c r="J43" s="110">
        <v>0</v>
      </c>
      <c r="K43" s="35">
        <v>1000</v>
      </c>
      <c r="L43" s="114">
        <f t="shared" si="3"/>
        <v>-500</v>
      </c>
      <c r="M43" s="62"/>
      <c r="O43" s="61"/>
    </row>
    <row r="44" spans="1:15" s="10" customFormat="1" ht="18" x14ac:dyDescent="0.35">
      <c r="A44" s="32">
        <v>36</v>
      </c>
      <c r="B44" s="32"/>
      <c r="C44" s="32" t="s">
        <v>42</v>
      </c>
      <c r="D44" s="34"/>
      <c r="E44" s="32"/>
      <c r="F44" s="32"/>
      <c r="G44" s="25">
        <v>2160</v>
      </c>
      <c r="H44" s="73">
        <v>2522</v>
      </c>
      <c r="I44" s="25">
        <f>180*12</f>
        <v>2160</v>
      </c>
      <c r="J44" s="107">
        <f>1139.95+161.95</f>
        <v>1301.9000000000001</v>
      </c>
      <c r="K44" s="25">
        <f>145*12</f>
        <v>1740</v>
      </c>
      <c r="L44" s="114">
        <f t="shared" si="3"/>
        <v>-420</v>
      </c>
      <c r="M44" s="62"/>
      <c r="O44" s="61"/>
    </row>
    <row r="45" spans="1:15" s="10" customFormat="1" ht="18" x14ac:dyDescent="0.35">
      <c r="A45" s="32">
        <v>37</v>
      </c>
      <c r="B45" s="32"/>
      <c r="C45" s="32" t="s">
        <v>10</v>
      </c>
      <c r="D45" s="34"/>
      <c r="E45" s="32"/>
      <c r="F45" s="32"/>
      <c r="G45" s="25">
        <v>650</v>
      </c>
      <c r="H45" s="73">
        <v>668</v>
      </c>
      <c r="I45" s="25">
        <v>650</v>
      </c>
      <c r="J45" s="59">
        <f>447.77+57</f>
        <v>504.77</v>
      </c>
      <c r="K45" s="25">
        <v>672</v>
      </c>
      <c r="L45" s="23">
        <f t="shared" si="3"/>
        <v>22</v>
      </c>
      <c r="M45" s="62"/>
      <c r="O45" s="61"/>
    </row>
    <row r="46" spans="1:15" s="10" customFormat="1" ht="18" x14ac:dyDescent="0.35">
      <c r="A46" s="32" t="s">
        <v>11</v>
      </c>
      <c r="C46" s="32"/>
      <c r="D46" s="34"/>
      <c r="E46" s="32"/>
      <c r="F46" s="32"/>
      <c r="G46" s="35"/>
      <c r="H46" s="36"/>
      <c r="I46" s="35"/>
      <c r="J46" s="110"/>
      <c r="K46" s="35"/>
      <c r="L46" s="40"/>
      <c r="M46" s="62"/>
      <c r="O46" s="61"/>
    </row>
    <row r="47" spans="1:15" s="10" customFormat="1" ht="18" x14ac:dyDescent="0.35">
      <c r="A47" s="32">
        <v>38</v>
      </c>
      <c r="B47" s="32"/>
      <c r="C47" s="32" t="s">
        <v>44</v>
      </c>
      <c r="D47" s="34"/>
      <c r="E47" s="32"/>
      <c r="F47" s="32"/>
      <c r="G47" s="25">
        <v>4000</v>
      </c>
      <c r="H47" s="73">
        <v>4047</v>
      </c>
      <c r="I47" s="25">
        <v>4000</v>
      </c>
      <c r="J47" s="107">
        <v>2520.42</v>
      </c>
      <c r="K47" s="25">
        <v>3000</v>
      </c>
      <c r="L47" s="114">
        <f t="shared" si="3"/>
        <v>-1000</v>
      </c>
      <c r="M47" s="62"/>
      <c r="O47" s="61"/>
    </row>
    <row r="48" spans="1:15" s="10" customFormat="1" ht="18" x14ac:dyDescent="0.35">
      <c r="A48" s="32">
        <v>39</v>
      </c>
      <c r="B48" s="32"/>
      <c r="C48" s="32" t="s">
        <v>12</v>
      </c>
      <c r="D48" s="34"/>
      <c r="E48" s="32"/>
      <c r="F48" s="32"/>
      <c r="G48" s="25">
        <v>2400</v>
      </c>
      <c r="H48" s="73">
        <v>4899</v>
      </c>
      <c r="I48" s="25">
        <v>3200</v>
      </c>
      <c r="J48" s="107">
        <f>1786.5+187.5</f>
        <v>1974</v>
      </c>
      <c r="K48" s="25">
        <v>3200</v>
      </c>
      <c r="L48" s="19">
        <f t="shared" si="3"/>
        <v>0</v>
      </c>
      <c r="M48" s="62"/>
      <c r="O48" s="123"/>
    </row>
    <row r="49" spans="1:15" s="10" customFormat="1" ht="18" x14ac:dyDescent="0.35">
      <c r="A49" s="32">
        <v>40</v>
      </c>
      <c r="B49" s="32"/>
      <c r="C49" s="32" t="s">
        <v>13</v>
      </c>
      <c r="D49" s="34"/>
      <c r="E49" s="32"/>
      <c r="F49" s="32"/>
      <c r="G49" s="35">
        <v>5000</v>
      </c>
      <c r="H49" s="36">
        <v>72</v>
      </c>
      <c r="I49" s="35">
        <v>3300</v>
      </c>
      <c r="J49" s="35">
        <v>167.01</v>
      </c>
      <c r="K49" s="35">
        <v>2500</v>
      </c>
      <c r="L49" s="114">
        <f t="shared" si="3"/>
        <v>-800</v>
      </c>
      <c r="M49" s="62"/>
      <c r="O49" s="61"/>
    </row>
    <row r="50" spans="1:15" s="10" customFormat="1" ht="18" x14ac:dyDescent="0.35">
      <c r="A50" s="32">
        <v>42</v>
      </c>
      <c r="B50" s="32"/>
      <c r="C50" s="32" t="s">
        <v>34</v>
      </c>
      <c r="D50" s="34"/>
      <c r="E50" s="32"/>
      <c r="F50" s="32"/>
      <c r="G50" s="35">
        <v>1900</v>
      </c>
      <c r="H50" s="36">
        <v>1327</v>
      </c>
      <c r="I50" s="35">
        <v>1900</v>
      </c>
      <c r="J50" s="35" t="s">
        <v>98</v>
      </c>
      <c r="K50" s="35">
        <v>0</v>
      </c>
      <c r="L50" s="114">
        <f t="shared" si="3"/>
        <v>-1900</v>
      </c>
      <c r="M50" s="62"/>
      <c r="O50" s="61"/>
    </row>
    <row r="51" spans="1:15" s="10" customFormat="1" ht="18" x14ac:dyDescent="0.35">
      <c r="A51" s="32">
        <v>43</v>
      </c>
      <c r="B51" s="32" t="s">
        <v>6</v>
      </c>
      <c r="C51" s="32"/>
      <c r="D51" s="34"/>
      <c r="E51" s="32"/>
      <c r="F51" s="32"/>
      <c r="G51" s="35">
        <v>2000</v>
      </c>
      <c r="H51" s="36">
        <v>1421</v>
      </c>
      <c r="I51" s="35">
        <v>1200</v>
      </c>
      <c r="J51" s="110">
        <v>1388</v>
      </c>
      <c r="K51" s="35">
        <v>1388</v>
      </c>
      <c r="L51" s="23">
        <f t="shared" si="3"/>
        <v>188</v>
      </c>
      <c r="M51" s="62"/>
      <c r="O51" s="61"/>
    </row>
    <row r="52" spans="1:15" s="10" customFormat="1" ht="18" x14ac:dyDescent="0.35">
      <c r="A52" s="32" t="s">
        <v>46</v>
      </c>
      <c r="C52" s="32"/>
      <c r="D52" s="34"/>
      <c r="E52" s="32"/>
      <c r="F52" s="32"/>
      <c r="G52" s="35"/>
      <c r="H52" s="36"/>
      <c r="I52" s="35"/>
      <c r="J52" s="110"/>
      <c r="K52" s="35"/>
      <c r="L52" s="40"/>
      <c r="M52" s="62"/>
      <c r="O52" s="61"/>
    </row>
    <row r="53" spans="1:15" s="10" customFormat="1" ht="18" x14ac:dyDescent="0.35">
      <c r="A53" s="32">
        <v>44</v>
      </c>
      <c r="B53" s="32"/>
      <c r="C53" s="32" t="s">
        <v>66</v>
      </c>
      <c r="D53" s="34"/>
      <c r="E53" s="32"/>
      <c r="F53" s="32"/>
      <c r="G53" s="35">
        <v>5600</v>
      </c>
      <c r="H53" s="36">
        <v>2686</v>
      </c>
      <c r="I53" s="35">
        <v>4800</v>
      </c>
      <c r="J53" s="59">
        <f>2332.1+268.69</f>
        <v>2600.79</v>
      </c>
      <c r="K53" s="92">
        <v>4800</v>
      </c>
      <c r="L53" s="19">
        <f t="shared" si="3"/>
        <v>0</v>
      </c>
      <c r="M53" s="62"/>
      <c r="O53" s="61"/>
    </row>
    <row r="54" spans="1:15" s="10" customFormat="1" ht="18" x14ac:dyDescent="0.35">
      <c r="A54" s="32">
        <v>45</v>
      </c>
      <c r="B54" s="32"/>
      <c r="C54" s="32" t="s">
        <v>75</v>
      </c>
      <c r="D54" s="34"/>
      <c r="E54" s="32"/>
      <c r="F54" s="32"/>
      <c r="G54" s="35">
        <v>1788</v>
      </c>
      <c r="H54" s="36">
        <v>1768</v>
      </c>
      <c r="I54" s="35">
        <f>152*12</f>
        <v>1824</v>
      </c>
      <c r="J54" s="110">
        <v>1377</v>
      </c>
      <c r="K54" s="35">
        <f>155*12</f>
        <v>1860</v>
      </c>
      <c r="L54" s="23">
        <f t="shared" si="3"/>
        <v>36</v>
      </c>
      <c r="M54" s="62"/>
      <c r="O54" s="128"/>
    </row>
    <row r="55" spans="1:15" s="10" customFormat="1" ht="18" x14ac:dyDescent="0.35">
      <c r="A55" s="32">
        <v>46</v>
      </c>
      <c r="B55" s="32"/>
      <c r="C55" s="32" t="s">
        <v>86</v>
      </c>
      <c r="D55" s="34"/>
      <c r="E55" s="32"/>
      <c r="F55" s="32"/>
      <c r="G55" s="35">
        <v>10500</v>
      </c>
      <c r="H55" s="36">
        <v>10912</v>
      </c>
      <c r="I55" s="35">
        <v>11000</v>
      </c>
      <c r="J55" s="110">
        <v>7981</v>
      </c>
      <c r="K55" s="35">
        <v>11500</v>
      </c>
      <c r="L55" s="23">
        <f t="shared" si="3"/>
        <v>500</v>
      </c>
      <c r="M55" s="62"/>
      <c r="O55" s="61"/>
    </row>
    <row r="56" spans="1:15" s="10" customFormat="1" ht="18" x14ac:dyDescent="0.35">
      <c r="A56" s="32">
        <v>47</v>
      </c>
      <c r="B56" s="32"/>
      <c r="C56" s="32" t="s">
        <v>76</v>
      </c>
      <c r="D56" s="34"/>
      <c r="E56" s="32"/>
      <c r="F56" s="32"/>
      <c r="G56" s="35">
        <v>3000</v>
      </c>
      <c r="H56" s="36">
        <v>1800</v>
      </c>
      <c r="I56" s="35">
        <v>4200</v>
      </c>
      <c r="J56" s="110">
        <v>1700</v>
      </c>
      <c r="K56" s="35">
        <v>3600</v>
      </c>
      <c r="L56" s="114">
        <f t="shared" si="3"/>
        <v>-600</v>
      </c>
      <c r="M56" s="62"/>
      <c r="O56" s="61"/>
    </row>
    <row r="57" spans="1:15" s="10" customFormat="1" ht="18" x14ac:dyDescent="0.35">
      <c r="A57" s="32">
        <v>48</v>
      </c>
      <c r="B57" s="32"/>
      <c r="C57" s="32" t="s">
        <v>77</v>
      </c>
      <c r="D57" s="34"/>
      <c r="E57" s="32"/>
      <c r="F57" s="32"/>
      <c r="G57" s="35">
        <v>0</v>
      </c>
      <c r="H57" s="36">
        <v>1542</v>
      </c>
      <c r="I57" s="35">
        <v>1500</v>
      </c>
      <c r="J57" s="111">
        <v>67</v>
      </c>
      <c r="K57" s="111">
        <v>1500</v>
      </c>
      <c r="L57" s="19">
        <f t="shared" si="3"/>
        <v>0</v>
      </c>
      <c r="M57" s="62"/>
      <c r="O57" s="61"/>
    </row>
    <row r="58" spans="1:15" s="10" customFormat="1" ht="18" x14ac:dyDescent="0.35">
      <c r="A58" s="32">
        <v>50</v>
      </c>
      <c r="B58" s="32"/>
      <c r="C58" s="32" t="s">
        <v>14</v>
      </c>
      <c r="D58" s="34"/>
      <c r="E58" s="32"/>
      <c r="F58" s="32"/>
      <c r="G58" s="35">
        <v>7000</v>
      </c>
      <c r="H58" s="36">
        <v>485</v>
      </c>
      <c r="I58" s="35">
        <v>600</v>
      </c>
      <c r="J58" s="110">
        <v>125</v>
      </c>
      <c r="K58" s="35">
        <v>600</v>
      </c>
      <c r="L58" s="19">
        <f t="shared" si="3"/>
        <v>0</v>
      </c>
      <c r="M58" s="62"/>
      <c r="O58" s="61"/>
    </row>
    <row r="59" spans="1:15" s="10" customFormat="1" ht="18" x14ac:dyDescent="0.35">
      <c r="A59" s="32">
        <v>51</v>
      </c>
      <c r="B59" s="32"/>
      <c r="C59" s="32" t="s">
        <v>15</v>
      </c>
      <c r="D59" s="34"/>
      <c r="E59" s="32"/>
      <c r="F59" s="32"/>
      <c r="G59" s="35">
        <v>3500</v>
      </c>
      <c r="H59" s="36">
        <v>2579</v>
      </c>
      <c r="I59" s="35">
        <v>3500</v>
      </c>
      <c r="J59" s="112">
        <f>1264.61+29.38+13.92</f>
        <v>1307.9100000000001</v>
      </c>
      <c r="K59" s="40">
        <v>2600</v>
      </c>
      <c r="L59" s="114">
        <f t="shared" si="3"/>
        <v>-900</v>
      </c>
      <c r="M59" s="62"/>
      <c r="O59" s="61"/>
    </row>
    <row r="60" spans="1:15" s="10" customFormat="1" ht="18" x14ac:dyDescent="0.35">
      <c r="A60" s="32">
        <v>52</v>
      </c>
      <c r="B60" s="32"/>
      <c r="C60" s="32" t="s">
        <v>43</v>
      </c>
      <c r="D60" s="34"/>
      <c r="E60" s="32"/>
      <c r="F60" s="32"/>
      <c r="G60" s="35">
        <v>2500</v>
      </c>
      <c r="H60" s="36">
        <v>1227</v>
      </c>
      <c r="I60" s="35">
        <v>2500</v>
      </c>
      <c r="J60" s="110">
        <f>905.15+234.5</f>
        <v>1139.6500000000001</v>
      </c>
      <c r="K60" s="35">
        <v>1500</v>
      </c>
      <c r="L60" s="114">
        <f t="shared" si="3"/>
        <v>-1000</v>
      </c>
      <c r="M60" s="62"/>
      <c r="O60" s="61"/>
    </row>
    <row r="61" spans="1:15" s="10" customFormat="1" ht="18" x14ac:dyDescent="0.35">
      <c r="A61" s="32" t="s">
        <v>54</v>
      </c>
      <c r="C61" s="32"/>
      <c r="D61" s="34"/>
      <c r="E61" s="32"/>
      <c r="F61" s="32"/>
      <c r="G61" s="35"/>
      <c r="H61" s="36"/>
      <c r="I61" s="35"/>
      <c r="J61" s="110"/>
      <c r="K61" s="35"/>
      <c r="L61" s="40"/>
      <c r="M61" s="62"/>
      <c r="O61" s="61"/>
    </row>
    <row r="62" spans="1:15" s="10" customFormat="1" ht="18" x14ac:dyDescent="0.35">
      <c r="A62" s="32">
        <v>53</v>
      </c>
      <c r="B62" s="32"/>
      <c r="C62" s="32" t="s">
        <v>93</v>
      </c>
      <c r="D62" s="34"/>
      <c r="E62" s="32"/>
      <c r="F62" s="32"/>
      <c r="G62" s="35">
        <v>60000</v>
      </c>
      <c r="H62" s="36">
        <v>37001</v>
      </c>
      <c r="I62" s="35">
        <v>60000</v>
      </c>
      <c r="J62" s="59">
        <f>16076.65+1760</f>
        <v>17836.650000000001</v>
      </c>
      <c r="K62" s="92">
        <v>40000</v>
      </c>
      <c r="L62" s="114">
        <f t="shared" si="3"/>
        <v>-20000</v>
      </c>
      <c r="M62" s="62"/>
      <c r="O62" s="61"/>
    </row>
    <row r="63" spans="1:15" s="10" customFormat="1" ht="18" x14ac:dyDescent="0.35">
      <c r="A63" s="32">
        <v>54</v>
      </c>
      <c r="B63" s="32"/>
      <c r="C63" s="32" t="s">
        <v>94</v>
      </c>
      <c r="D63" s="34"/>
      <c r="E63" s="32"/>
      <c r="F63" s="32"/>
      <c r="G63" s="35">
        <v>42000</v>
      </c>
      <c r="H63" s="36">
        <v>49500</v>
      </c>
      <c r="I63" s="35">
        <v>30000</v>
      </c>
      <c r="J63" s="59">
        <f>20000+2500</f>
        <v>22500</v>
      </c>
      <c r="K63" s="92">
        <v>54000</v>
      </c>
      <c r="L63" s="23">
        <f t="shared" si="3"/>
        <v>24000</v>
      </c>
      <c r="M63" s="62"/>
      <c r="O63" s="61"/>
    </row>
    <row r="64" spans="1:15" s="10" customFormat="1" ht="18" x14ac:dyDescent="0.35">
      <c r="A64" s="32">
        <v>55</v>
      </c>
      <c r="B64" s="32"/>
      <c r="C64" s="32" t="s">
        <v>87</v>
      </c>
      <c r="D64" s="32"/>
      <c r="E64" s="34"/>
      <c r="F64" s="34"/>
      <c r="G64" s="35">
        <v>30900</v>
      </c>
      <c r="H64" s="36">
        <v>2500</v>
      </c>
      <c r="I64" s="35">
        <v>30900</v>
      </c>
      <c r="J64" s="110">
        <v>11049</v>
      </c>
      <c r="K64" s="35">
        <v>30900</v>
      </c>
      <c r="L64" s="114">
        <f t="shared" si="3"/>
        <v>0</v>
      </c>
      <c r="M64" s="62"/>
      <c r="O64" s="61"/>
    </row>
    <row r="65" spans="1:15" s="10" customFormat="1" ht="18" x14ac:dyDescent="0.35">
      <c r="A65" s="32">
        <v>56</v>
      </c>
      <c r="B65" s="32"/>
      <c r="C65" s="32" t="s">
        <v>57</v>
      </c>
      <c r="D65" s="32"/>
      <c r="E65" s="34"/>
      <c r="F65" s="34"/>
      <c r="G65" s="35">
        <v>7150</v>
      </c>
      <c r="H65" s="36">
        <v>7166</v>
      </c>
      <c r="I65" s="35">
        <v>7150</v>
      </c>
      <c r="J65" s="110">
        <f>5967.25+311.6</f>
        <v>6278.85</v>
      </c>
      <c r="K65" s="35">
        <v>7200</v>
      </c>
      <c r="L65" s="19">
        <f t="shared" si="3"/>
        <v>50</v>
      </c>
      <c r="M65" s="62"/>
      <c r="O65" s="61"/>
    </row>
    <row r="66" spans="1:15" s="10" customFormat="1" ht="18" x14ac:dyDescent="0.35">
      <c r="A66" s="32">
        <v>57</v>
      </c>
      <c r="B66" s="32"/>
      <c r="C66" s="32" t="s">
        <v>59</v>
      </c>
      <c r="D66" s="34"/>
      <c r="E66" s="34"/>
      <c r="F66" s="34"/>
      <c r="G66" s="35">
        <v>2500</v>
      </c>
      <c r="H66" s="36">
        <v>1125</v>
      </c>
      <c r="I66" s="35">
        <v>750</v>
      </c>
      <c r="J66" s="110">
        <v>375</v>
      </c>
      <c r="K66" s="35">
        <v>750</v>
      </c>
      <c r="L66" s="19">
        <f t="shared" si="3"/>
        <v>0</v>
      </c>
      <c r="M66" s="62"/>
      <c r="O66" s="61"/>
    </row>
    <row r="67" spans="1:15" s="10" customFormat="1" ht="18" x14ac:dyDescent="0.35">
      <c r="A67" s="32">
        <v>58</v>
      </c>
      <c r="B67" s="32"/>
      <c r="C67" s="42" t="s">
        <v>27</v>
      </c>
      <c r="D67" s="32"/>
      <c r="E67" s="32"/>
      <c r="F67" s="32"/>
      <c r="G67" s="35">
        <v>9000</v>
      </c>
      <c r="H67" s="36">
        <v>7121</v>
      </c>
      <c r="I67" s="35">
        <v>7000</v>
      </c>
      <c r="J67" s="35">
        <v>2520.42</v>
      </c>
      <c r="K67" s="35">
        <v>7000</v>
      </c>
      <c r="L67" s="19">
        <f t="shared" si="3"/>
        <v>0</v>
      </c>
      <c r="M67" s="62"/>
      <c r="O67" s="61"/>
    </row>
    <row r="68" spans="1:15" s="10" customFormat="1" ht="18" x14ac:dyDescent="0.35">
      <c r="A68" s="32">
        <v>59</v>
      </c>
      <c r="B68" s="32"/>
      <c r="C68" s="32" t="s">
        <v>88</v>
      </c>
      <c r="D68" s="32"/>
      <c r="E68" s="34"/>
      <c r="F68" s="34"/>
      <c r="G68" s="35">
        <v>10000</v>
      </c>
      <c r="H68" s="36">
        <v>4500</v>
      </c>
      <c r="I68" s="35">
        <v>10000</v>
      </c>
      <c r="J68" s="110">
        <v>0</v>
      </c>
      <c r="K68" s="35">
        <v>4500</v>
      </c>
      <c r="L68" s="114">
        <f t="shared" si="3"/>
        <v>-5500</v>
      </c>
      <c r="M68" s="62"/>
      <c r="O68" s="61"/>
    </row>
    <row r="69" spans="1:15" s="10" customFormat="1" ht="18" x14ac:dyDescent="0.35">
      <c r="A69" s="32">
        <v>60</v>
      </c>
      <c r="B69" s="32" t="s">
        <v>40</v>
      </c>
      <c r="C69" s="32"/>
      <c r="D69" s="34"/>
      <c r="E69" s="32"/>
      <c r="F69" s="32"/>
      <c r="G69" s="32"/>
      <c r="H69" s="39"/>
      <c r="I69" s="32"/>
      <c r="J69" s="110"/>
      <c r="K69" s="35"/>
      <c r="L69" s="40"/>
      <c r="M69" s="62"/>
      <c r="O69" s="61"/>
    </row>
    <row r="70" spans="1:15" s="10" customFormat="1" ht="18" x14ac:dyDescent="0.35">
      <c r="A70" s="32">
        <v>61</v>
      </c>
      <c r="B70" s="32"/>
      <c r="C70" s="32" t="s">
        <v>53</v>
      </c>
      <c r="D70" s="34"/>
      <c r="E70" s="32"/>
      <c r="F70" s="32"/>
      <c r="G70" s="35">
        <v>2000</v>
      </c>
      <c r="H70" s="36">
        <v>2339</v>
      </c>
      <c r="I70" s="35">
        <v>4000</v>
      </c>
      <c r="J70" s="110">
        <v>1254.3799999999999</v>
      </c>
      <c r="K70" s="35">
        <v>3000</v>
      </c>
      <c r="L70" s="114">
        <f t="shared" si="3"/>
        <v>-1000</v>
      </c>
      <c r="M70" s="62"/>
      <c r="O70" s="61"/>
    </row>
    <row r="71" spans="1:15" s="10" customFormat="1" ht="18" x14ac:dyDescent="0.35">
      <c r="A71" s="32">
        <v>62</v>
      </c>
      <c r="B71" s="32"/>
      <c r="C71" s="32" t="s">
        <v>60</v>
      </c>
      <c r="D71" s="34"/>
      <c r="E71" s="32"/>
      <c r="F71" s="32"/>
      <c r="G71" s="35">
        <v>2500</v>
      </c>
      <c r="H71" s="36">
        <v>870</v>
      </c>
      <c r="I71" s="35">
        <v>2500</v>
      </c>
      <c r="J71" s="110">
        <v>0</v>
      </c>
      <c r="K71" s="35">
        <v>1800</v>
      </c>
      <c r="L71" s="114">
        <f t="shared" si="3"/>
        <v>-700</v>
      </c>
      <c r="M71" s="62"/>
      <c r="O71" s="61"/>
    </row>
    <row r="72" spans="1:15" s="10" customFormat="1" ht="18" x14ac:dyDescent="0.35">
      <c r="A72" s="32">
        <v>63</v>
      </c>
      <c r="B72" s="32" t="s">
        <v>18</v>
      </c>
      <c r="C72" s="32"/>
      <c r="D72" s="34"/>
      <c r="E72" s="32"/>
      <c r="F72" s="32"/>
      <c r="G72" s="35">
        <v>1000</v>
      </c>
      <c r="H72" s="36">
        <v>1067</v>
      </c>
      <c r="I72" s="35">
        <v>1200</v>
      </c>
      <c r="J72" s="110">
        <v>721.52</v>
      </c>
      <c r="K72" s="35">
        <v>1200</v>
      </c>
      <c r="L72" s="19">
        <f t="shared" si="3"/>
        <v>0</v>
      </c>
      <c r="M72" s="62"/>
      <c r="O72" s="61"/>
    </row>
    <row r="73" spans="1:15" s="10" customFormat="1" ht="18" x14ac:dyDescent="0.35">
      <c r="A73" s="32" t="s">
        <v>47</v>
      </c>
      <c r="B73" s="32" t="s">
        <v>52</v>
      </c>
      <c r="C73" s="32"/>
      <c r="D73" s="32"/>
      <c r="E73" s="34"/>
      <c r="F73" s="34"/>
      <c r="G73" s="32"/>
      <c r="H73" s="39"/>
      <c r="I73" s="32"/>
      <c r="J73" s="110"/>
      <c r="K73" s="35"/>
      <c r="L73" s="40"/>
      <c r="M73" s="62"/>
      <c r="O73" s="61"/>
    </row>
    <row r="74" spans="1:15" s="10" customFormat="1" ht="18" x14ac:dyDescent="0.35">
      <c r="A74" s="32">
        <v>64</v>
      </c>
      <c r="B74" s="32"/>
      <c r="C74" s="32" t="s">
        <v>51</v>
      </c>
      <c r="D74" s="34"/>
      <c r="E74" s="32"/>
      <c r="F74" s="32"/>
      <c r="G74" s="35">
        <v>5102</v>
      </c>
      <c r="H74" s="36">
        <v>780</v>
      </c>
      <c r="I74" s="35">
        <v>10000</v>
      </c>
      <c r="J74" s="110">
        <v>1402</v>
      </c>
      <c r="K74" s="35">
        <v>5000</v>
      </c>
      <c r="L74" s="114">
        <f t="shared" si="3"/>
        <v>-5000</v>
      </c>
      <c r="M74" s="62"/>
      <c r="O74" s="61"/>
    </row>
    <row r="75" spans="1:15" s="10" customFormat="1" ht="18" x14ac:dyDescent="0.35">
      <c r="A75" s="32">
        <v>65</v>
      </c>
      <c r="B75" s="32"/>
      <c r="C75" s="39" t="s">
        <v>48</v>
      </c>
      <c r="D75" s="32"/>
      <c r="E75" s="32"/>
      <c r="F75" s="32"/>
      <c r="G75" s="35">
        <v>550</v>
      </c>
      <c r="H75" s="36">
        <v>795</v>
      </c>
      <c r="I75" s="35">
        <v>790</v>
      </c>
      <c r="J75" s="110">
        <v>350</v>
      </c>
      <c r="K75" s="35">
        <v>790</v>
      </c>
      <c r="L75" s="23">
        <f t="shared" si="3"/>
        <v>0</v>
      </c>
      <c r="M75" s="62"/>
      <c r="O75" s="61"/>
    </row>
    <row r="76" spans="1:15" s="10" customFormat="1" ht="18" x14ac:dyDescent="0.35">
      <c r="A76" s="32" t="s">
        <v>47</v>
      </c>
      <c r="B76" s="39" t="s">
        <v>50</v>
      </c>
      <c r="C76" s="32"/>
      <c r="D76" s="34"/>
      <c r="E76" s="32"/>
      <c r="F76" s="32"/>
      <c r="G76" s="35"/>
      <c r="H76" s="36"/>
      <c r="I76" s="35"/>
      <c r="J76" s="110"/>
      <c r="K76" s="35"/>
      <c r="L76" s="40"/>
      <c r="M76" s="62"/>
      <c r="O76" s="61"/>
    </row>
    <row r="77" spans="1:15" s="10" customFormat="1" ht="18" x14ac:dyDescent="0.35">
      <c r="A77" s="32">
        <v>66</v>
      </c>
      <c r="B77" s="32"/>
      <c r="C77" s="32" t="s">
        <v>16</v>
      </c>
      <c r="D77" s="34"/>
      <c r="E77" s="32"/>
      <c r="F77" s="32"/>
      <c r="G77" s="35">
        <v>2500</v>
      </c>
      <c r="H77" s="36">
        <v>1519</v>
      </c>
      <c r="I77" s="35">
        <v>2000</v>
      </c>
      <c r="J77" s="110">
        <f>1061.89+55</f>
        <v>1116.8900000000001</v>
      </c>
      <c r="K77" s="35">
        <v>2000</v>
      </c>
      <c r="L77" s="23">
        <f t="shared" si="3"/>
        <v>0</v>
      </c>
      <c r="M77" s="62"/>
      <c r="O77" s="61"/>
    </row>
    <row r="78" spans="1:15" s="10" customFormat="1" ht="18" x14ac:dyDescent="0.35">
      <c r="A78" s="32">
        <v>67</v>
      </c>
      <c r="B78" s="32"/>
      <c r="C78" s="32" t="s">
        <v>17</v>
      </c>
      <c r="D78" s="34"/>
      <c r="E78" s="32"/>
      <c r="F78" s="32"/>
      <c r="G78" s="35">
        <v>1400</v>
      </c>
      <c r="H78" s="36">
        <v>170</v>
      </c>
      <c r="I78" s="35">
        <v>1400</v>
      </c>
      <c r="J78" s="110">
        <v>41</v>
      </c>
      <c r="K78" s="35">
        <v>1400</v>
      </c>
      <c r="L78" s="23">
        <f t="shared" si="3"/>
        <v>0</v>
      </c>
      <c r="M78" s="89"/>
      <c r="O78" s="61"/>
    </row>
    <row r="79" spans="1:15" s="10" customFormat="1" ht="18" x14ac:dyDescent="0.35">
      <c r="A79" s="32">
        <v>68</v>
      </c>
      <c r="B79" s="32"/>
      <c r="C79" s="43" t="s">
        <v>71</v>
      </c>
      <c r="D79" s="44"/>
      <c r="E79" s="32"/>
      <c r="F79" s="32"/>
      <c r="G79" s="36">
        <f>+SUM(G27:G78)</f>
        <v>469882</v>
      </c>
      <c r="H79" s="36">
        <f>+SUM(H27:H78)</f>
        <v>325019</v>
      </c>
      <c r="I79" s="47">
        <f>+SUM(I27:I78)</f>
        <v>451140</v>
      </c>
      <c r="J79" s="100">
        <f>SUM(J18:J78)+J83</f>
        <v>281750.87000000005</v>
      </c>
      <c r="K79" s="47">
        <f>SUM(K27:K78)</f>
        <v>403727</v>
      </c>
      <c r="L79" s="114"/>
      <c r="M79" s="62"/>
      <c r="O79" s="61"/>
    </row>
    <row r="80" spans="1:15" s="10" customFormat="1" ht="18" x14ac:dyDescent="0.35">
      <c r="A80" s="32">
        <v>59</v>
      </c>
      <c r="B80" s="32"/>
      <c r="C80" s="43" t="s">
        <v>73</v>
      </c>
      <c r="D80" s="44"/>
      <c r="E80" s="32"/>
      <c r="F80" s="32"/>
      <c r="G80" s="35"/>
      <c r="H80" s="36"/>
      <c r="I80" s="35"/>
      <c r="J80" s="110"/>
      <c r="K80" s="35"/>
      <c r="L80" s="40" t="s">
        <v>99</v>
      </c>
      <c r="M80" s="62"/>
      <c r="O80" s="61"/>
    </row>
    <row r="81" spans="1:15" s="10" customFormat="1" ht="19.899999999999999" x14ac:dyDescent="0.5">
      <c r="A81" s="32">
        <v>60</v>
      </c>
      <c r="B81" s="32"/>
      <c r="C81" s="43" t="s">
        <v>38</v>
      </c>
      <c r="D81" s="45"/>
      <c r="E81" s="32"/>
      <c r="F81" s="32"/>
      <c r="G81" s="35">
        <v>14693</v>
      </c>
      <c r="H81" s="36">
        <f>(I15-H79)-H82</f>
        <v>96720.503744999995</v>
      </c>
      <c r="I81" s="35">
        <f>I15-I79</f>
        <v>51321.503744999995</v>
      </c>
      <c r="J81" s="100">
        <f>J15-J79</f>
        <v>186224.41999999998</v>
      </c>
      <c r="K81" s="47">
        <f>K15-K79</f>
        <v>115569.16012100002</v>
      </c>
      <c r="L81" s="115">
        <f>J79/9</f>
        <v>31305.652222222227</v>
      </c>
      <c r="M81" s="82"/>
      <c r="N81" s="91"/>
      <c r="O81" s="61"/>
    </row>
    <row r="82" spans="1:15" s="10" customFormat="1" ht="19.899999999999999" x14ac:dyDescent="0.5">
      <c r="A82" s="32">
        <v>61</v>
      </c>
      <c r="B82" s="32"/>
      <c r="C82" s="43" t="s">
        <v>72</v>
      </c>
      <c r="D82" s="45"/>
      <c r="E82" s="32"/>
      <c r="F82" s="32"/>
      <c r="G82" s="35">
        <v>155755</v>
      </c>
      <c r="H82" s="75">
        <v>80722</v>
      </c>
      <c r="I82" s="35">
        <v>0</v>
      </c>
      <c r="J82" s="110"/>
      <c r="K82" s="35"/>
      <c r="L82" s="138" t="s">
        <v>111</v>
      </c>
      <c r="M82" s="137"/>
      <c r="N82" s="91"/>
      <c r="O82" s="61"/>
    </row>
    <row r="83" spans="1:15" s="10" customFormat="1" ht="19.899999999999999" x14ac:dyDescent="0.5">
      <c r="A83" s="32">
        <v>62</v>
      </c>
      <c r="B83" s="32"/>
      <c r="C83" s="43" t="s">
        <v>95</v>
      </c>
      <c r="D83" s="45"/>
      <c r="E83" s="32"/>
      <c r="F83" s="32"/>
      <c r="G83" s="35">
        <v>25000</v>
      </c>
      <c r="H83" s="36">
        <v>25000</v>
      </c>
      <c r="I83" s="35">
        <v>25000</v>
      </c>
      <c r="J83" s="110">
        <v>4500</v>
      </c>
      <c r="K83" s="35"/>
      <c r="L83" s="138" t="s">
        <v>112</v>
      </c>
      <c r="M83" s="137"/>
      <c r="N83" s="105" t="s">
        <v>113</v>
      </c>
      <c r="O83" s="61"/>
    </row>
    <row r="84" spans="1:15" s="10" customFormat="1" ht="18" x14ac:dyDescent="0.35">
      <c r="A84" s="32">
        <v>63</v>
      </c>
      <c r="B84" s="32"/>
      <c r="C84" s="46" t="s">
        <v>84</v>
      </c>
      <c r="D84" s="34"/>
      <c r="E84" s="32"/>
      <c r="F84" s="32"/>
      <c r="G84" s="32" t="s">
        <v>47</v>
      </c>
      <c r="H84" s="76"/>
      <c r="J84" s="47" t="s">
        <v>114</v>
      </c>
      <c r="K84" s="41"/>
      <c r="L84" s="139"/>
      <c r="M84" s="140"/>
      <c r="N84" s="119"/>
      <c r="O84" s="61"/>
    </row>
    <row r="85" spans="1:15" s="10" customFormat="1" ht="18" x14ac:dyDescent="0.35">
      <c r="A85" s="32">
        <v>64</v>
      </c>
      <c r="B85" s="32"/>
      <c r="C85" s="46" t="s">
        <v>58</v>
      </c>
      <c r="D85" s="32"/>
      <c r="E85" s="32"/>
      <c r="F85" s="32"/>
      <c r="G85" s="35" t="s">
        <v>47</v>
      </c>
      <c r="H85" s="36">
        <v>821120</v>
      </c>
      <c r="I85" s="35"/>
      <c r="J85" s="98">
        <v>1611637</v>
      </c>
      <c r="K85" s="41"/>
      <c r="L85" s="138" t="s">
        <v>107</v>
      </c>
      <c r="M85" s="137"/>
      <c r="O85" s="61"/>
    </row>
    <row r="86" spans="1:15" s="10" customFormat="1" ht="18" x14ac:dyDescent="0.35">
      <c r="A86" s="32" t="s">
        <v>47</v>
      </c>
      <c r="B86" s="32"/>
      <c r="C86" s="46" t="s">
        <v>115</v>
      </c>
      <c r="D86" s="32"/>
      <c r="E86" s="32"/>
      <c r="F86" s="32"/>
      <c r="G86" s="35">
        <v>81000</v>
      </c>
      <c r="H86" s="36"/>
      <c r="I86" s="48"/>
      <c r="J86" s="98"/>
      <c r="K86" s="41"/>
      <c r="L86" s="134">
        <v>61002</v>
      </c>
      <c r="M86" s="135"/>
      <c r="N86" s="104" t="s">
        <v>100</v>
      </c>
      <c r="O86" s="103"/>
    </row>
    <row r="87" spans="1:15" s="10" customFormat="1" ht="18" x14ac:dyDescent="0.35">
      <c r="A87" s="32">
        <v>66</v>
      </c>
      <c r="B87" s="32"/>
      <c r="C87" s="46" t="s">
        <v>96</v>
      </c>
      <c r="D87" s="32"/>
      <c r="E87" s="32"/>
      <c r="F87" s="32"/>
      <c r="G87" s="35" t="s">
        <v>47</v>
      </c>
      <c r="H87" s="36">
        <v>200000</v>
      </c>
      <c r="I87" s="40"/>
      <c r="J87" s="101">
        <v>200000</v>
      </c>
      <c r="K87" s="102"/>
      <c r="L87" s="68"/>
      <c r="M87" s="62"/>
      <c r="N87" s="105" t="s">
        <v>108</v>
      </c>
      <c r="O87" s="62"/>
    </row>
    <row r="88" spans="1:15" s="10" customFormat="1" ht="18" x14ac:dyDescent="0.35">
      <c r="A88" s="32">
        <v>67</v>
      </c>
      <c r="B88" s="32"/>
      <c r="C88" s="43" t="s">
        <v>89</v>
      </c>
      <c r="D88" s="41"/>
      <c r="E88" s="32"/>
      <c r="F88" s="32"/>
      <c r="G88" s="35" t="s">
        <v>47</v>
      </c>
      <c r="H88" s="36">
        <v>221197</v>
      </c>
      <c r="I88" s="35"/>
      <c r="J88" s="98">
        <v>403880</v>
      </c>
      <c r="K88" s="41"/>
      <c r="L88" s="65"/>
      <c r="M88" s="89"/>
      <c r="O88" s="62"/>
    </row>
    <row r="89" spans="1:15" ht="18" x14ac:dyDescent="0.35">
      <c r="A89" s="18">
        <v>68</v>
      </c>
      <c r="B89" s="18"/>
      <c r="C89" s="31" t="s">
        <v>92</v>
      </c>
      <c r="D89" s="49"/>
      <c r="E89" s="18"/>
      <c r="F89" s="18"/>
      <c r="G89" s="19" t="s">
        <v>47</v>
      </c>
      <c r="H89" s="23">
        <v>66241</v>
      </c>
      <c r="I89" s="19"/>
      <c r="J89" s="80">
        <v>37212</v>
      </c>
      <c r="K89" s="49"/>
      <c r="L89" s="63"/>
      <c r="M89" s="66"/>
      <c r="N89" s="120"/>
      <c r="O89" s="64"/>
    </row>
    <row r="90" spans="1:15" ht="18" x14ac:dyDescent="0.35">
      <c r="A90" s="18">
        <v>69</v>
      </c>
      <c r="B90" s="18"/>
      <c r="C90" s="31" t="s">
        <v>68</v>
      </c>
      <c r="D90" s="49"/>
      <c r="E90" s="18"/>
      <c r="F90" s="18"/>
      <c r="G90" s="19">
        <v>0</v>
      </c>
      <c r="H90" s="23">
        <v>252301.55</v>
      </c>
      <c r="I90" s="19"/>
      <c r="J90" s="80">
        <v>0</v>
      </c>
      <c r="K90" s="49"/>
      <c r="L90" s="51"/>
      <c r="M90" s="66"/>
      <c r="O90" s="64"/>
    </row>
    <row r="91" spans="1:15" ht="18" x14ac:dyDescent="0.35">
      <c r="A91" s="18"/>
      <c r="B91" s="18"/>
      <c r="C91" s="31" t="s">
        <v>80</v>
      </c>
      <c r="D91" s="49"/>
      <c r="E91" s="18"/>
      <c r="F91" s="18"/>
      <c r="G91" s="19"/>
      <c r="H91" s="23">
        <v>500000</v>
      </c>
      <c r="I91" s="19"/>
      <c r="J91" s="80">
        <v>0</v>
      </c>
      <c r="K91" s="49"/>
      <c r="L91" s="83" t="s">
        <v>106</v>
      </c>
      <c r="M91" s="27"/>
      <c r="O91" s="52"/>
    </row>
    <row r="92" spans="1:15" ht="18" x14ac:dyDescent="0.35">
      <c r="A92" s="18">
        <v>70</v>
      </c>
      <c r="B92" s="18"/>
      <c r="C92" s="31"/>
      <c r="D92" s="49"/>
      <c r="E92" s="19" t="s">
        <v>39</v>
      </c>
      <c r="F92" s="18"/>
      <c r="G92" s="19">
        <f>SUM(G85:G90)</f>
        <v>81000</v>
      </c>
      <c r="H92" s="23">
        <f>SUM(H85:H91)</f>
        <v>2060859.55</v>
      </c>
      <c r="I92" s="54"/>
      <c r="J92" s="80">
        <f>J85+J87+J88+J89</f>
        <v>2252729</v>
      </c>
      <c r="K92" s="49"/>
      <c r="L92" s="83" t="s">
        <v>103</v>
      </c>
      <c r="M92" s="27"/>
      <c r="O92" s="52"/>
    </row>
    <row r="93" spans="1:15" ht="18" x14ac:dyDescent="0.35">
      <c r="A93" s="18">
        <v>71</v>
      </c>
      <c r="B93" s="18"/>
      <c r="C93" s="53" t="s">
        <v>90</v>
      </c>
      <c r="D93" s="49"/>
      <c r="E93" s="18"/>
      <c r="F93" s="18"/>
      <c r="G93" s="54"/>
      <c r="H93" s="77">
        <v>2060860</v>
      </c>
      <c r="I93" s="54">
        <v>2138482</v>
      </c>
      <c r="J93" s="80">
        <f>J92+61002</f>
        <v>2313731</v>
      </c>
      <c r="K93" s="49"/>
      <c r="L93" s="116">
        <f>J93</f>
        <v>2313731</v>
      </c>
      <c r="M93" s="29"/>
      <c r="O93" s="26"/>
    </row>
    <row r="94" spans="1:15" ht="18" x14ac:dyDescent="0.35">
      <c r="A94" s="18">
        <v>75</v>
      </c>
      <c r="B94" s="33"/>
      <c r="C94" s="31" t="s">
        <v>91</v>
      </c>
      <c r="D94" s="55"/>
      <c r="E94" s="33"/>
      <c r="F94" s="33"/>
      <c r="G94" s="95"/>
      <c r="H94" s="95"/>
      <c r="I94" s="95"/>
      <c r="J94" s="87"/>
      <c r="K94" s="81"/>
      <c r="L94" s="29" t="s">
        <v>116</v>
      </c>
      <c r="M94" s="50"/>
      <c r="O94" s="50"/>
    </row>
    <row r="95" spans="1:15" ht="17.45" x14ac:dyDescent="0.3">
      <c r="A95" s="7"/>
      <c r="L95" s="121"/>
    </row>
    <row r="96" spans="1:15" ht="13.9" x14ac:dyDescent="0.25">
      <c r="A96" s="7"/>
      <c r="I96" s="106"/>
    </row>
    <row r="97" spans="1:9" x14ac:dyDescent="0.25">
      <c r="A97" s="7"/>
      <c r="G97" s="9"/>
      <c r="I97" s="60"/>
    </row>
    <row r="98" spans="1:9" x14ac:dyDescent="0.25">
      <c r="A98" s="7"/>
    </row>
    <row r="99" spans="1:9" x14ac:dyDescent="0.25">
      <c r="A99" s="7"/>
    </row>
    <row r="100" spans="1:9" x14ac:dyDescent="0.25">
      <c r="A100" s="7"/>
    </row>
    <row r="101" spans="1:9" x14ac:dyDescent="0.25">
      <c r="A101" s="7"/>
    </row>
    <row r="102" spans="1:9" x14ac:dyDescent="0.25">
      <c r="A102" s="7"/>
    </row>
    <row r="103" spans="1:9" x14ac:dyDescent="0.25">
      <c r="A103" s="7"/>
    </row>
  </sheetData>
  <mergeCells count="7">
    <mergeCell ref="N11:O11"/>
    <mergeCell ref="L86:M86"/>
    <mergeCell ref="A1:J1"/>
    <mergeCell ref="L82:M82"/>
    <mergeCell ref="L83:M83"/>
    <mergeCell ref="L84:M84"/>
    <mergeCell ref="L85:M85"/>
  </mergeCells>
  <phoneticPr fontId="4" type="noConversion"/>
  <pageMargins left="0.2" right="0.2" top="0.25" bottom="0.25" header="0" footer="0"/>
  <pageSetup paperSize="5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3F1B-9283-4447-9ECC-BCD4D779EAF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Big Dog</cp:lastModifiedBy>
  <cp:lastPrinted>2020-07-27T14:58:05Z</cp:lastPrinted>
  <dcterms:created xsi:type="dcterms:W3CDTF">2010-08-12T22:14:54Z</dcterms:created>
  <dcterms:modified xsi:type="dcterms:W3CDTF">2020-07-27T14:58:27Z</dcterms:modified>
</cp:coreProperties>
</file>